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!!!!PRICES\"/>
    </mc:Choice>
  </mc:AlternateContent>
  <xr:revisionPtr revIDLastSave="0" documentId="13_ncr:1_{249EAE7D-CF62-4258-8EB1-AE817FB46E3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рубопровродная Арматура" sheetId="2" r:id="rId1"/>
    <sheet name="Лист3" sheetId="5" state="hidden" r:id="rId2"/>
    <sheet name="Лист2" sheetId="4" state="hidden" r:id="rId3"/>
    <sheet name="Лист1" sheetId="3" state="veryHidden" r:id="rId4"/>
  </sheets>
  <externalReferences>
    <externalReference r:id="rId5"/>
  </externalReferences>
  <definedNames>
    <definedName name="_xlnm._FilterDatabase" localSheetId="2" hidden="1">Лист2!$A$1:$C$573</definedName>
    <definedName name="_xlnm._FilterDatabase" localSheetId="0" hidden="1">'Трубопровродная Арматура'!$B$65:$J$1014</definedName>
    <definedName name="Kurs">'Трубопровродная Арматура'!#REF!</definedName>
    <definedName name="_xlnm.Print_Area" localSheetId="0">'Трубопровродная Арматура'!$A$1:$J$1014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60" i="2" l="1"/>
  <c r="I759" i="2"/>
  <c r="J760" i="2"/>
  <c r="J759" i="2"/>
  <c r="J752" i="2"/>
  <c r="I752" i="2"/>
  <c r="J732" i="2"/>
  <c r="I732" i="2"/>
  <c r="J713" i="2"/>
  <c r="I713" i="2"/>
  <c r="J712" i="2"/>
  <c r="I712" i="2"/>
  <c r="J711" i="2"/>
  <c r="I711" i="2"/>
  <c r="J655" i="2"/>
  <c r="J644" i="2"/>
  <c r="I644" i="2"/>
  <c r="J434" i="2"/>
  <c r="I433" i="2"/>
  <c r="I794" i="2"/>
  <c r="I798" i="2"/>
  <c r="I802" i="2"/>
  <c r="I780" i="2"/>
  <c r="I784" i="2"/>
  <c r="I785" i="2" s="1"/>
  <c r="I789" i="2"/>
  <c r="I768" i="2"/>
  <c r="I775" i="2"/>
  <c r="I763" i="2"/>
  <c r="I758" i="2"/>
  <c r="I751" i="2"/>
  <c r="I731" i="2"/>
  <c r="I710" i="2"/>
  <c r="I696" i="2"/>
  <c r="I677" i="2"/>
  <c r="I664" i="2"/>
  <c r="I658" i="2"/>
  <c r="I654" i="2"/>
  <c r="I643" i="2"/>
  <c r="I629" i="2"/>
  <c r="I612" i="2"/>
  <c r="I608" i="2"/>
  <c r="I590" i="2"/>
  <c r="I586" i="2"/>
  <c r="I572" i="2"/>
  <c r="I569" i="2"/>
  <c r="I565" i="2"/>
  <c r="I561" i="2"/>
  <c r="I543" i="2"/>
  <c r="I537" i="2"/>
  <c r="I533" i="2"/>
  <c r="I528" i="2"/>
  <c r="I523" i="2"/>
  <c r="I519" i="2"/>
  <c r="I512" i="2"/>
  <c r="I503" i="2"/>
  <c r="I498" i="2"/>
  <c r="I489" i="2"/>
  <c r="I462" i="2"/>
  <c r="I444" i="2"/>
  <c r="I429" i="2"/>
  <c r="I425" i="2"/>
  <c r="I421" i="2"/>
  <c r="I417" i="2"/>
  <c r="I410" i="2"/>
  <c r="I405" i="2"/>
  <c r="I394" i="2"/>
  <c r="I385" i="2"/>
  <c r="I376" i="2"/>
  <c r="I342" i="2"/>
  <c r="I362" i="2"/>
  <c r="I318" i="2"/>
  <c r="I333" i="2"/>
  <c r="I304" i="2"/>
  <c r="I309" i="2"/>
  <c r="I295" i="2"/>
  <c r="I281" i="2"/>
  <c r="I275" i="2"/>
  <c r="I266" i="2"/>
  <c r="I257" i="2"/>
  <c r="I244" i="2"/>
  <c r="I236" i="2"/>
  <c r="I229" i="2"/>
  <c r="I221" i="2"/>
  <c r="I213" i="2"/>
  <c r="I434" i="2" s="1"/>
  <c r="I193" i="2"/>
  <c r="I176" i="2"/>
  <c r="I169" i="2"/>
  <c r="I152" i="2"/>
  <c r="I147" i="2"/>
  <c r="I141" i="2"/>
  <c r="I136" i="2"/>
  <c r="I123" i="2"/>
  <c r="I118" i="2"/>
  <c r="I114" i="2"/>
  <c r="I108" i="2"/>
  <c r="I99" i="2"/>
  <c r="I95" i="2"/>
  <c r="I89" i="2"/>
  <c r="I83" i="2"/>
  <c r="I74" i="2"/>
  <c r="I65" i="2"/>
  <c r="I655" i="2" l="1"/>
  <c r="I770" i="2"/>
  <c r="I786" i="2"/>
  <c r="I769" i="2"/>
  <c r="I225" i="2" l="1"/>
  <c r="I222" i="2"/>
  <c r="I223" i="2"/>
  <c r="I224" i="2"/>
  <c r="I226" i="2"/>
  <c r="I171" i="2"/>
  <c r="I172" i="2"/>
  <c r="I173" i="2"/>
  <c r="I170" i="2"/>
  <c r="J172" i="2"/>
  <c r="J173" i="2"/>
  <c r="J171" i="2"/>
  <c r="J170" i="2"/>
  <c r="J178" i="2"/>
  <c r="J177" i="2"/>
  <c r="I177" i="2"/>
  <c r="J124" i="2"/>
  <c r="J120" i="2"/>
  <c r="J119" i="2"/>
  <c r="J115" i="2"/>
  <c r="J111" i="2"/>
  <c r="J110" i="2"/>
  <c r="J109" i="2"/>
  <c r="J105" i="2"/>
  <c r="J104" i="2"/>
  <c r="J103" i="2"/>
  <c r="J102" i="2"/>
  <c r="J101" i="2"/>
  <c r="J100" i="2"/>
  <c r="J96" i="2"/>
  <c r="I178" i="2" l="1"/>
  <c r="J490" i="2" l="1"/>
  <c r="J791" i="2" l="1"/>
  <c r="J776" i="2"/>
  <c r="J777" i="2"/>
  <c r="J781" i="2" l="1"/>
  <c r="I791" i="2"/>
  <c r="I781" i="2"/>
  <c r="I776" i="2" l="1"/>
  <c r="I490" i="2" l="1"/>
  <c r="I96" i="2"/>
  <c r="I194" i="2" l="1"/>
  <c r="I195" i="2"/>
  <c r="I197" i="2"/>
  <c r="I196" i="2"/>
  <c r="AJ1357" i="3"/>
  <c r="AI1356" i="3"/>
  <c r="AE1356" i="3"/>
  <c r="W1356" i="3"/>
  <c r="X1356" i="3" s="1"/>
  <c r="V1356" i="3"/>
  <c r="AF1356" i="3" s="1"/>
  <c r="AH1356" i="3" s="1"/>
  <c r="R1356" i="3"/>
  <c r="N1356" i="3"/>
  <c r="M1356" i="3"/>
  <c r="H1356" i="3"/>
  <c r="AI1355" i="3"/>
  <c r="AF1355" i="3"/>
  <c r="AH1355" i="3" s="1"/>
  <c r="X1355" i="3"/>
  <c r="V1355" i="3"/>
  <c r="W1355" i="3" s="1"/>
  <c r="R1355" i="3"/>
  <c r="N1355" i="3"/>
  <c r="M1355" i="3"/>
  <c r="H1355" i="3"/>
  <c r="J1354" i="3"/>
  <c r="I1354" i="3"/>
  <c r="AJ1348" i="3"/>
  <c r="AE1347" i="3"/>
  <c r="AA1347" i="3"/>
  <c r="W1347" i="3"/>
  <c r="X1347" i="3" s="1"/>
  <c r="V1347" i="3"/>
  <c r="AF1347" i="3" s="1"/>
  <c r="AH1347" i="3" s="1"/>
  <c r="R1347" i="3"/>
  <c r="N1347" i="3"/>
  <c r="AD1347" i="3" s="1"/>
  <c r="M1347" i="3"/>
  <c r="H1347" i="3"/>
  <c r="AF1346" i="3"/>
  <c r="AH1346" i="3" s="1"/>
  <c r="V1346" i="3"/>
  <c r="W1346" i="3" s="1"/>
  <c r="X1346" i="3" s="1"/>
  <c r="R1346" i="3"/>
  <c r="N1346" i="3"/>
  <c r="M1346" i="3"/>
  <c r="H1346" i="3"/>
  <c r="AE1345" i="3"/>
  <c r="W1345" i="3"/>
  <c r="X1345" i="3" s="1"/>
  <c r="V1345" i="3"/>
  <c r="AF1345" i="3" s="1"/>
  <c r="AH1345" i="3" s="1"/>
  <c r="R1345" i="3"/>
  <c r="N1345" i="3"/>
  <c r="AD1345" i="3" s="1"/>
  <c r="M1345" i="3"/>
  <c r="H1345" i="3"/>
  <c r="AI1344" i="3"/>
  <c r="V1344" i="3"/>
  <c r="R1344" i="3"/>
  <c r="N1344" i="3"/>
  <c r="M1344" i="3"/>
  <c r="H1344" i="3"/>
  <c r="AE1343" i="3"/>
  <c r="W1343" i="3"/>
  <c r="X1343" i="3" s="1"/>
  <c r="V1343" i="3"/>
  <c r="AF1343" i="3" s="1"/>
  <c r="AH1343" i="3" s="1"/>
  <c r="R1343" i="3"/>
  <c r="N1343" i="3"/>
  <c r="M1343" i="3"/>
  <c r="H1343" i="3"/>
  <c r="AF1342" i="3"/>
  <c r="AH1342" i="3" s="1"/>
  <c r="X1342" i="3"/>
  <c r="V1342" i="3"/>
  <c r="W1342" i="3" s="1"/>
  <c r="R1342" i="3"/>
  <c r="N1342" i="3"/>
  <c r="M1342" i="3"/>
  <c r="H1342" i="3"/>
  <c r="AE1341" i="3"/>
  <c r="W1341" i="3"/>
  <c r="X1341" i="3" s="1"/>
  <c r="V1341" i="3"/>
  <c r="AF1341" i="3" s="1"/>
  <c r="AH1341" i="3" s="1"/>
  <c r="R1341" i="3"/>
  <c r="N1341" i="3"/>
  <c r="AD1341" i="3" s="1"/>
  <c r="M1341" i="3"/>
  <c r="H1341" i="3"/>
  <c r="Y1340" i="3"/>
  <c r="J1340" i="3"/>
  <c r="I1340" i="3"/>
  <c r="AJ1338" i="3"/>
  <c r="AI1336" i="3" s="1"/>
  <c r="AI1337" i="3"/>
  <c r="AF1337" i="3"/>
  <c r="AH1337" i="3" s="1"/>
  <c r="X1337" i="3"/>
  <c r="V1337" i="3"/>
  <c r="W1337" i="3" s="1"/>
  <c r="R1337" i="3"/>
  <c r="N1337" i="3"/>
  <c r="M1337" i="3"/>
  <c r="H1337" i="3"/>
  <c r="AH1336" i="3"/>
  <c r="AE1336" i="3"/>
  <c r="W1336" i="3"/>
  <c r="X1336" i="3" s="1"/>
  <c r="V1336" i="3"/>
  <c r="AF1336" i="3" s="1"/>
  <c r="R1336" i="3"/>
  <c r="N1336" i="3"/>
  <c r="AD1336" i="3" s="1"/>
  <c r="M1336" i="3"/>
  <c r="H1336" i="3"/>
  <c r="AI1335" i="3"/>
  <c r="V1335" i="3"/>
  <c r="R1335" i="3"/>
  <c r="N1335" i="3"/>
  <c r="M1335" i="3"/>
  <c r="H1335" i="3"/>
  <c r="AI1334" i="3"/>
  <c r="AE1334" i="3"/>
  <c r="W1334" i="3"/>
  <c r="X1334" i="3" s="1"/>
  <c r="V1334" i="3"/>
  <c r="AF1334" i="3" s="1"/>
  <c r="AH1334" i="3" s="1"/>
  <c r="R1334" i="3"/>
  <c r="N1334" i="3"/>
  <c r="AD1334" i="3" s="1"/>
  <c r="M1334" i="3"/>
  <c r="H1334" i="3"/>
  <c r="AI1333" i="3"/>
  <c r="AE1333" i="3"/>
  <c r="W1333" i="3"/>
  <c r="X1333" i="3" s="1"/>
  <c r="V1333" i="3"/>
  <c r="AF1333" i="3" s="1"/>
  <c r="R1333" i="3"/>
  <c r="N1333" i="3"/>
  <c r="AD1333" i="3" s="1"/>
  <c r="M1333" i="3"/>
  <c r="H1333" i="3"/>
  <c r="AI1332" i="3"/>
  <c r="V1332" i="3"/>
  <c r="R1332" i="3"/>
  <c r="N1332" i="3"/>
  <c r="M1332" i="3"/>
  <c r="H1332" i="3"/>
  <c r="AI1331" i="3"/>
  <c r="AE1331" i="3"/>
  <c r="AA1331" i="3"/>
  <c r="W1331" i="3"/>
  <c r="X1331" i="3" s="1"/>
  <c r="V1331" i="3"/>
  <c r="AF1331" i="3" s="1"/>
  <c r="AH1331" i="3" s="1"/>
  <c r="R1331" i="3"/>
  <c r="N1331" i="3"/>
  <c r="M1331" i="3"/>
  <c r="H1331" i="3"/>
  <c r="Y1330" i="3"/>
  <c r="J1330" i="3"/>
  <c r="I1330" i="3"/>
  <c r="AJ1327" i="3"/>
  <c r="AE1327" i="3"/>
  <c r="V1327" i="3"/>
  <c r="R1327" i="3"/>
  <c r="N1327" i="3"/>
  <c r="M1327" i="3"/>
  <c r="J1327" i="3"/>
  <c r="H1327" i="3"/>
  <c r="AJ1326" i="3"/>
  <c r="AH1326" i="3"/>
  <c r="AF1326" i="3"/>
  <c r="V1326" i="3"/>
  <c r="W1326" i="3" s="1"/>
  <c r="X1326" i="3" s="1"/>
  <c r="R1326" i="3"/>
  <c r="N1326" i="3"/>
  <c r="M1326" i="3"/>
  <c r="H1326" i="3"/>
  <c r="AJ1325" i="3"/>
  <c r="AF1325" i="3"/>
  <c r="AH1325" i="3" s="1"/>
  <c r="AA1325" i="3"/>
  <c r="X1325" i="3"/>
  <c r="W1325" i="3"/>
  <c r="V1325" i="3"/>
  <c r="R1325" i="3"/>
  <c r="N1325" i="3"/>
  <c r="M1325" i="3"/>
  <c r="H1325" i="3"/>
  <c r="AJ1324" i="3"/>
  <c r="AE1324" i="3"/>
  <c r="V1324" i="3"/>
  <c r="AF1324" i="3" s="1"/>
  <c r="AH1324" i="3" s="1"/>
  <c r="R1324" i="3"/>
  <c r="N1324" i="3"/>
  <c r="M1324" i="3"/>
  <c r="H1324" i="3"/>
  <c r="Y1323" i="3"/>
  <c r="J1323" i="3"/>
  <c r="I1323" i="3"/>
  <c r="AJ1319" i="3"/>
  <c r="AI1318" i="3"/>
  <c r="AE1318" i="3"/>
  <c r="W1318" i="3"/>
  <c r="V1318" i="3"/>
  <c r="AF1318" i="3" s="1"/>
  <c r="AH1318" i="3" s="1"/>
  <c r="R1318" i="3"/>
  <c r="N1318" i="3"/>
  <c r="M1318" i="3"/>
  <c r="H1318" i="3"/>
  <c r="AF1317" i="3"/>
  <c r="AH1317" i="3" s="1"/>
  <c r="AE1317" i="3"/>
  <c r="W1317" i="3"/>
  <c r="X1317" i="3" s="1"/>
  <c r="V1317" i="3"/>
  <c r="R1317" i="3"/>
  <c r="N1317" i="3"/>
  <c r="M1317" i="3"/>
  <c r="H1317" i="3"/>
  <c r="AH1316" i="3"/>
  <c r="AF1316" i="3"/>
  <c r="X1316" i="3"/>
  <c r="W1316" i="3"/>
  <c r="V1316" i="3"/>
  <c r="R1316" i="3"/>
  <c r="N1316" i="3"/>
  <c r="M1316" i="3"/>
  <c r="H1316" i="3"/>
  <c r="AI1315" i="3"/>
  <c r="V1315" i="3"/>
  <c r="R1315" i="3"/>
  <c r="N1315" i="3"/>
  <c r="AE1315" i="3" s="1"/>
  <c r="M1315" i="3"/>
  <c r="H1315" i="3"/>
  <c r="AI1314" i="3"/>
  <c r="AF1314" i="3"/>
  <c r="W1314" i="3"/>
  <c r="X1314" i="3" s="1"/>
  <c r="V1314" i="3"/>
  <c r="R1314" i="3"/>
  <c r="N1314" i="3"/>
  <c r="M1314" i="3"/>
  <c r="H1314" i="3"/>
  <c r="AF1313" i="3"/>
  <c r="AH1313" i="3" s="1"/>
  <c r="V1313" i="3"/>
  <c r="W1313" i="3" s="1"/>
  <c r="X1313" i="3" s="1"/>
  <c r="R1313" i="3"/>
  <c r="N1313" i="3"/>
  <c r="M1313" i="3"/>
  <c r="H1313" i="3"/>
  <c r="I1313" i="3" s="1"/>
  <c r="T1313" i="3" s="1"/>
  <c r="V1312" i="3"/>
  <c r="R1312" i="3"/>
  <c r="N1312" i="3"/>
  <c r="AE1312" i="3" s="1"/>
  <c r="M1312" i="3"/>
  <c r="H1312" i="3"/>
  <c r="Y1311" i="3"/>
  <c r="J1311" i="3"/>
  <c r="I1311" i="3"/>
  <c r="AJ1309" i="3"/>
  <c r="AI1308" i="3"/>
  <c r="AE1308" i="3"/>
  <c r="V1308" i="3"/>
  <c r="R1308" i="3"/>
  <c r="N1308" i="3"/>
  <c r="M1308" i="3"/>
  <c r="H1308" i="3"/>
  <c r="AK1307" i="3"/>
  <c r="AI1307" i="3"/>
  <c r="AE1307" i="3"/>
  <c r="V1307" i="3"/>
  <c r="AF1307" i="3" s="1"/>
  <c r="AH1307" i="3" s="1"/>
  <c r="R1307" i="3"/>
  <c r="N1307" i="3"/>
  <c r="M1307" i="3"/>
  <c r="J1307" i="3"/>
  <c r="S1307" i="3" s="1"/>
  <c r="H1307" i="3"/>
  <c r="AI1306" i="3"/>
  <c r="AF1306" i="3"/>
  <c r="AH1306" i="3" s="1"/>
  <c r="AA1306" i="3"/>
  <c r="W1306" i="3"/>
  <c r="X1306" i="3" s="1"/>
  <c r="V1306" i="3"/>
  <c r="R1306" i="3"/>
  <c r="N1306" i="3"/>
  <c r="M1306" i="3"/>
  <c r="H1306" i="3"/>
  <c r="AI1305" i="3"/>
  <c r="AF1305" i="3"/>
  <c r="AH1305" i="3" s="1"/>
  <c r="X1305" i="3"/>
  <c r="V1305" i="3"/>
  <c r="W1305" i="3" s="1"/>
  <c r="R1305" i="3"/>
  <c r="N1305" i="3"/>
  <c r="M1305" i="3"/>
  <c r="H1305" i="3"/>
  <c r="AI1304" i="3"/>
  <c r="AH1304" i="3"/>
  <c r="AE1304" i="3"/>
  <c r="W1304" i="3"/>
  <c r="V1304" i="3"/>
  <c r="AF1304" i="3" s="1"/>
  <c r="R1304" i="3"/>
  <c r="N1304" i="3"/>
  <c r="M1304" i="3"/>
  <c r="H1304" i="3"/>
  <c r="AI1303" i="3"/>
  <c r="AF1303" i="3"/>
  <c r="AH1303" i="3" s="1"/>
  <c r="W1303" i="3"/>
  <c r="X1303" i="3" s="1"/>
  <c r="V1303" i="3"/>
  <c r="R1303" i="3"/>
  <c r="N1303" i="3"/>
  <c r="M1303" i="3"/>
  <c r="H1303" i="3"/>
  <c r="AI1302" i="3"/>
  <c r="AE1302" i="3"/>
  <c r="V1302" i="3"/>
  <c r="R1302" i="3"/>
  <c r="N1302" i="3"/>
  <c r="M1302" i="3"/>
  <c r="I1302" i="3"/>
  <c r="H1302" i="3"/>
  <c r="Y1301" i="3"/>
  <c r="J1301" i="3"/>
  <c r="I1301" i="3"/>
  <c r="AJ1299" i="3"/>
  <c r="AI1298" i="3"/>
  <c r="AE1298" i="3"/>
  <c r="V1298" i="3"/>
  <c r="R1298" i="3"/>
  <c r="N1298" i="3"/>
  <c r="M1298" i="3"/>
  <c r="H1298" i="3"/>
  <c r="AI1297" i="3"/>
  <c r="AF1297" i="3"/>
  <c r="AH1297" i="3" s="1"/>
  <c r="AA1297" i="3"/>
  <c r="V1297" i="3"/>
  <c r="W1297" i="3" s="1"/>
  <c r="X1297" i="3" s="1"/>
  <c r="R1297" i="3"/>
  <c r="N1297" i="3"/>
  <c r="M1297" i="3"/>
  <c r="J1297" i="3"/>
  <c r="S1297" i="3" s="1"/>
  <c r="AK1297" i="3" s="1"/>
  <c r="H1297" i="3"/>
  <c r="I1297" i="3" s="1"/>
  <c r="T1297" i="3" s="1"/>
  <c r="AI1296" i="3"/>
  <c r="AG1296" i="3"/>
  <c r="AF1296" i="3"/>
  <c r="AH1296" i="3" s="1"/>
  <c r="X1296" i="3"/>
  <c r="V1296" i="3"/>
  <c r="W1296" i="3" s="1"/>
  <c r="R1296" i="3"/>
  <c r="N1296" i="3"/>
  <c r="M1296" i="3"/>
  <c r="H1296" i="3"/>
  <c r="AI1295" i="3"/>
  <c r="V1295" i="3"/>
  <c r="R1295" i="3"/>
  <c r="N1295" i="3"/>
  <c r="AE1295" i="3" s="1"/>
  <c r="M1295" i="3"/>
  <c r="J1295" i="3"/>
  <c r="H1295" i="3"/>
  <c r="AI1294" i="3"/>
  <c r="AE1294" i="3"/>
  <c r="AA1294" i="3"/>
  <c r="Z1294" i="3"/>
  <c r="Y1294" i="3" s="1"/>
  <c r="AB1294" i="3" s="1"/>
  <c r="W1294" i="3"/>
  <c r="X1294" i="3" s="1"/>
  <c r="V1294" i="3"/>
  <c r="AF1294" i="3" s="1"/>
  <c r="AH1294" i="3" s="1"/>
  <c r="R1294" i="3"/>
  <c r="N1294" i="3"/>
  <c r="M1294" i="3"/>
  <c r="J1294" i="3"/>
  <c r="S1294" i="3" s="1"/>
  <c r="AK1294" i="3" s="1"/>
  <c r="H1294" i="3"/>
  <c r="I1294" i="3" s="1"/>
  <c r="T1294" i="3" s="1"/>
  <c r="AI1293" i="3"/>
  <c r="AF1293" i="3"/>
  <c r="AH1293" i="3" s="1"/>
  <c r="X1293" i="3"/>
  <c r="W1293" i="3"/>
  <c r="V1293" i="3"/>
  <c r="R1293" i="3"/>
  <c r="N1293" i="3"/>
  <c r="M1293" i="3"/>
  <c r="H1293" i="3"/>
  <c r="AI1292" i="3"/>
  <c r="AF1292" i="3"/>
  <c r="AH1292" i="3" s="1"/>
  <c r="V1292" i="3"/>
  <c r="W1292" i="3" s="1"/>
  <c r="X1292" i="3" s="1"/>
  <c r="R1292" i="3"/>
  <c r="N1292" i="3"/>
  <c r="M1292" i="3"/>
  <c r="H1292" i="3"/>
  <c r="I1292" i="3" s="1"/>
  <c r="T1292" i="3" s="1"/>
  <c r="AI1291" i="3"/>
  <c r="V1291" i="3"/>
  <c r="R1291" i="3"/>
  <c r="O1291" i="3"/>
  <c r="N1291" i="3"/>
  <c r="AE1291" i="3" s="1"/>
  <c r="M1291" i="3"/>
  <c r="J1291" i="3"/>
  <c r="S1291" i="3" s="1"/>
  <c r="AK1291" i="3" s="1"/>
  <c r="H1291" i="3"/>
  <c r="AI1290" i="3"/>
  <c r="AF1290" i="3"/>
  <c r="W1290" i="3"/>
  <c r="X1290" i="3" s="1"/>
  <c r="V1290" i="3"/>
  <c r="R1290" i="3"/>
  <c r="N1290" i="3"/>
  <c r="M1290" i="3"/>
  <c r="H1290" i="3"/>
  <c r="AI1289" i="3"/>
  <c r="AH1289" i="3"/>
  <c r="AF1289" i="3"/>
  <c r="V1289" i="3"/>
  <c r="W1289" i="3" s="1"/>
  <c r="X1289" i="3" s="1"/>
  <c r="R1289" i="3"/>
  <c r="N1289" i="3"/>
  <c r="M1289" i="3"/>
  <c r="H1289" i="3"/>
  <c r="I1289" i="3" s="1"/>
  <c r="T1289" i="3" s="1"/>
  <c r="AI1288" i="3"/>
  <c r="V1288" i="3"/>
  <c r="R1288" i="3"/>
  <c r="N1288" i="3"/>
  <c r="AE1288" i="3" s="1"/>
  <c r="M1288" i="3"/>
  <c r="J1288" i="3"/>
  <c r="S1288" i="3" s="1"/>
  <c r="AK1288" i="3" s="1"/>
  <c r="H1288" i="3"/>
  <c r="AK1287" i="3"/>
  <c r="AI1287" i="3"/>
  <c r="AE1287" i="3"/>
  <c r="V1287" i="3"/>
  <c r="AF1287" i="3" s="1"/>
  <c r="AH1287" i="3" s="1"/>
  <c r="R1287" i="3"/>
  <c r="N1287" i="3"/>
  <c r="M1287" i="3"/>
  <c r="J1287" i="3"/>
  <c r="S1287" i="3" s="1"/>
  <c r="H1287" i="3"/>
  <c r="AI1286" i="3"/>
  <c r="AF1286" i="3"/>
  <c r="AH1286" i="3" s="1"/>
  <c r="AA1286" i="3"/>
  <c r="X1286" i="3"/>
  <c r="W1286" i="3"/>
  <c r="V1286" i="3"/>
  <c r="R1286" i="3"/>
  <c r="N1286" i="3"/>
  <c r="M1286" i="3"/>
  <c r="H1286" i="3"/>
  <c r="I1286" i="3" s="1"/>
  <c r="T1286" i="3" s="1"/>
  <c r="AI1285" i="3"/>
  <c r="V1285" i="3"/>
  <c r="R1285" i="3"/>
  <c r="N1285" i="3"/>
  <c r="AE1285" i="3" s="1"/>
  <c r="M1285" i="3"/>
  <c r="J1285" i="3"/>
  <c r="H1285" i="3"/>
  <c r="AI1284" i="3"/>
  <c r="AE1284" i="3"/>
  <c r="W1284" i="3"/>
  <c r="X1284" i="3" s="1"/>
  <c r="AA1284" i="3" s="1"/>
  <c r="V1284" i="3"/>
  <c r="AF1284" i="3" s="1"/>
  <c r="AH1284" i="3" s="1"/>
  <c r="R1284" i="3"/>
  <c r="N1284" i="3"/>
  <c r="M1284" i="3"/>
  <c r="H1284" i="3"/>
  <c r="I1284" i="3" s="1"/>
  <c r="AI1283" i="3"/>
  <c r="AF1283" i="3"/>
  <c r="AH1283" i="3" s="1"/>
  <c r="X1283" i="3"/>
  <c r="W1283" i="3"/>
  <c r="V1283" i="3"/>
  <c r="R1283" i="3"/>
  <c r="N1283" i="3"/>
  <c r="M1283" i="3"/>
  <c r="H1283" i="3"/>
  <c r="AI1282" i="3"/>
  <c r="V1282" i="3"/>
  <c r="R1282" i="3"/>
  <c r="N1282" i="3"/>
  <c r="AE1282" i="3" s="1"/>
  <c r="M1282" i="3"/>
  <c r="I1282" i="3"/>
  <c r="H1282" i="3"/>
  <c r="AI1281" i="3"/>
  <c r="AE1281" i="3"/>
  <c r="W1281" i="3"/>
  <c r="V1281" i="3"/>
  <c r="AF1281" i="3" s="1"/>
  <c r="AH1281" i="3" s="1"/>
  <c r="R1281" i="3"/>
  <c r="N1281" i="3"/>
  <c r="M1281" i="3"/>
  <c r="H1281" i="3"/>
  <c r="AI1280" i="3"/>
  <c r="AF1280" i="3"/>
  <c r="AH1280" i="3" s="1"/>
  <c r="W1280" i="3"/>
  <c r="X1280" i="3" s="1"/>
  <c r="V1280" i="3"/>
  <c r="R1280" i="3"/>
  <c r="N1280" i="3"/>
  <c r="M1280" i="3"/>
  <c r="H1280" i="3"/>
  <c r="Y1279" i="3"/>
  <c r="J1279" i="3"/>
  <c r="J1298" i="3" s="1"/>
  <c r="I1279" i="3"/>
  <c r="AJ1277" i="3"/>
  <c r="AF1276" i="3"/>
  <c r="AH1276" i="3" s="1"/>
  <c r="W1276" i="3"/>
  <c r="X1276" i="3" s="1"/>
  <c r="V1276" i="3"/>
  <c r="R1276" i="3"/>
  <c r="N1276" i="3"/>
  <c r="M1276" i="3"/>
  <c r="H1276" i="3"/>
  <c r="AF1275" i="3"/>
  <c r="AH1275" i="3" s="1"/>
  <c r="X1275" i="3"/>
  <c r="V1275" i="3"/>
  <c r="W1275" i="3" s="1"/>
  <c r="R1275" i="3"/>
  <c r="N1275" i="3"/>
  <c r="M1275" i="3"/>
  <c r="I1275" i="3"/>
  <c r="T1275" i="3" s="1"/>
  <c r="H1275" i="3"/>
  <c r="V1274" i="3"/>
  <c r="R1274" i="3"/>
  <c r="N1274" i="3"/>
  <c r="AE1274" i="3" s="1"/>
  <c r="M1274" i="3"/>
  <c r="I1274" i="3"/>
  <c r="H1274" i="3"/>
  <c r="AI1273" i="3"/>
  <c r="AE1273" i="3"/>
  <c r="W1273" i="3"/>
  <c r="V1273" i="3"/>
  <c r="AF1273" i="3" s="1"/>
  <c r="AH1273" i="3" s="1"/>
  <c r="R1273" i="3"/>
  <c r="N1273" i="3"/>
  <c r="M1273" i="3"/>
  <c r="H1273" i="3"/>
  <c r="AF1272" i="3"/>
  <c r="AH1272" i="3" s="1"/>
  <c r="W1272" i="3"/>
  <c r="X1272" i="3" s="1"/>
  <c r="V1272" i="3"/>
  <c r="R1272" i="3"/>
  <c r="N1272" i="3"/>
  <c r="M1272" i="3"/>
  <c r="H1272" i="3"/>
  <c r="AF1271" i="3"/>
  <c r="AH1271" i="3" s="1"/>
  <c r="X1271" i="3"/>
  <c r="V1271" i="3"/>
  <c r="W1271" i="3" s="1"/>
  <c r="R1271" i="3"/>
  <c r="N1271" i="3"/>
  <c r="M1271" i="3"/>
  <c r="I1271" i="3"/>
  <c r="T1271" i="3" s="1"/>
  <c r="H1271" i="3"/>
  <c r="Y1270" i="3"/>
  <c r="J1270" i="3"/>
  <c r="I1270" i="3"/>
  <c r="AJ1264" i="3"/>
  <c r="AI1263" i="3"/>
  <c r="AF1263" i="3"/>
  <c r="AH1263" i="3" s="1"/>
  <c r="V1263" i="3"/>
  <c r="W1263" i="3" s="1"/>
  <c r="X1263" i="3" s="1"/>
  <c r="R1263" i="3"/>
  <c r="N1263" i="3"/>
  <c r="M1263" i="3"/>
  <c r="H1263" i="3"/>
  <c r="I1263" i="3" s="1"/>
  <c r="T1263" i="3" s="1"/>
  <c r="AI1262" i="3"/>
  <c r="AE1262" i="3"/>
  <c r="V1262" i="3"/>
  <c r="R1262" i="3"/>
  <c r="N1262" i="3"/>
  <c r="M1262" i="3"/>
  <c r="J1262" i="3"/>
  <c r="H1262" i="3"/>
  <c r="AI1261" i="3"/>
  <c r="AE1261" i="3"/>
  <c r="AA1261" i="3"/>
  <c r="W1261" i="3"/>
  <c r="X1261" i="3" s="1"/>
  <c r="V1261" i="3"/>
  <c r="AF1261" i="3" s="1"/>
  <c r="AH1261" i="3" s="1"/>
  <c r="R1261" i="3"/>
  <c r="N1261" i="3"/>
  <c r="AD1261" i="3" s="1"/>
  <c r="M1261" i="3"/>
  <c r="H1261" i="3"/>
  <c r="I1261" i="3" s="1"/>
  <c r="AI1260" i="3"/>
  <c r="AF1260" i="3"/>
  <c r="AH1260" i="3" s="1"/>
  <c r="X1260" i="3"/>
  <c r="W1260" i="3"/>
  <c r="V1260" i="3"/>
  <c r="R1260" i="3"/>
  <c r="N1260" i="3"/>
  <c r="M1260" i="3"/>
  <c r="H1260" i="3"/>
  <c r="I1260" i="3" s="1"/>
  <c r="T1260" i="3" s="1"/>
  <c r="Y1259" i="3"/>
  <c r="J1259" i="3"/>
  <c r="I1259" i="3"/>
  <c r="AJ1257" i="3"/>
  <c r="AI1256" i="3" s="1"/>
  <c r="AF1256" i="3"/>
  <c r="AH1256" i="3" s="1"/>
  <c r="X1256" i="3"/>
  <c r="W1256" i="3"/>
  <c r="V1256" i="3"/>
  <c r="R1256" i="3"/>
  <c r="N1256" i="3"/>
  <c r="M1256" i="3"/>
  <c r="H1256" i="3"/>
  <c r="I1256" i="3" s="1"/>
  <c r="T1256" i="3" s="1"/>
  <c r="AI1255" i="3"/>
  <c r="AH1255" i="3"/>
  <c r="V1255" i="3"/>
  <c r="AF1255" i="3" s="1"/>
  <c r="T1255" i="3"/>
  <c r="R1255" i="3"/>
  <c r="N1255" i="3"/>
  <c r="AE1255" i="3" s="1"/>
  <c r="M1255" i="3"/>
  <c r="I1255" i="3"/>
  <c r="H1255" i="3"/>
  <c r="AI1254" i="3"/>
  <c r="AE1254" i="3"/>
  <c r="V1254" i="3"/>
  <c r="R1254" i="3"/>
  <c r="N1254" i="3"/>
  <c r="M1254" i="3"/>
  <c r="J1254" i="3"/>
  <c r="H1254" i="3"/>
  <c r="AI1253" i="3"/>
  <c r="AE1253" i="3"/>
  <c r="W1253" i="3"/>
  <c r="X1253" i="3" s="1"/>
  <c r="V1253" i="3"/>
  <c r="AF1253" i="3" s="1"/>
  <c r="AH1253" i="3" s="1"/>
  <c r="R1253" i="3"/>
  <c r="N1253" i="3"/>
  <c r="M1253" i="3"/>
  <c r="H1253" i="3"/>
  <c r="I1253" i="3" s="1"/>
  <c r="AI1252" i="3"/>
  <c r="AF1252" i="3"/>
  <c r="AH1252" i="3" s="1"/>
  <c r="X1252" i="3"/>
  <c r="W1252" i="3"/>
  <c r="V1252" i="3"/>
  <c r="R1252" i="3"/>
  <c r="N1252" i="3"/>
  <c r="M1252" i="3"/>
  <c r="H1252" i="3"/>
  <c r="I1252" i="3" s="1"/>
  <c r="T1252" i="3" s="1"/>
  <c r="AI1251" i="3"/>
  <c r="V1251" i="3"/>
  <c r="AF1251" i="3" s="1"/>
  <c r="AH1251" i="3" s="1"/>
  <c r="R1251" i="3"/>
  <c r="N1251" i="3"/>
  <c r="AE1251" i="3" s="1"/>
  <c r="M1251" i="3"/>
  <c r="I1251" i="3"/>
  <c r="P1251" i="3" s="1"/>
  <c r="H1251" i="3"/>
  <c r="AI1250" i="3"/>
  <c r="AE1250" i="3"/>
  <c r="V1250" i="3"/>
  <c r="R1250" i="3"/>
  <c r="N1250" i="3"/>
  <c r="M1250" i="3"/>
  <c r="J1250" i="3"/>
  <c r="H1250" i="3"/>
  <c r="Y1249" i="3"/>
  <c r="J1249" i="3"/>
  <c r="I1249" i="3"/>
  <c r="AJ1247" i="3"/>
  <c r="AI1244" i="3" s="1"/>
  <c r="AI1246" i="3"/>
  <c r="AE1246" i="3"/>
  <c r="V1246" i="3"/>
  <c r="R1246" i="3"/>
  <c r="N1246" i="3"/>
  <c r="M1246" i="3"/>
  <c r="J1246" i="3"/>
  <c r="H1246" i="3"/>
  <c r="AI1245" i="3"/>
  <c r="AF1245" i="3"/>
  <c r="AH1245" i="3" s="1"/>
  <c r="AE1245" i="3"/>
  <c r="AA1245" i="3"/>
  <c r="W1245" i="3"/>
  <c r="X1245" i="3" s="1"/>
  <c r="V1245" i="3"/>
  <c r="R1245" i="3"/>
  <c r="N1245" i="3"/>
  <c r="AD1245" i="3" s="1"/>
  <c r="M1245" i="3"/>
  <c r="H1245" i="3"/>
  <c r="I1245" i="3" s="1"/>
  <c r="AF1244" i="3"/>
  <c r="AH1244" i="3" s="1"/>
  <c r="X1244" i="3"/>
  <c r="W1244" i="3"/>
  <c r="V1244" i="3"/>
  <c r="R1244" i="3"/>
  <c r="N1244" i="3"/>
  <c r="M1244" i="3"/>
  <c r="H1244" i="3"/>
  <c r="I1244" i="3" s="1"/>
  <c r="T1244" i="3" s="1"/>
  <c r="AI1243" i="3"/>
  <c r="AH1243" i="3"/>
  <c r="V1243" i="3"/>
  <c r="AF1243" i="3" s="1"/>
  <c r="R1243" i="3"/>
  <c r="N1243" i="3"/>
  <c r="AE1243" i="3" s="1"/>
  <c r="M1243" i="3"/>
  <c r="I1243" i="3"/>
  <c r="H1243" i="3"/>
  <c r="AI1242" i="3"/>
  <c r="AE1242" i="3"/>
  <c r="V1242" i="3"/>
  <c r="R1242" i="3"/>
  <c r="N1242" i="3"/>
  <c r="M1242" i="3"/>
  <c r="J1242" i="3"/>
  <c r="H1242" i="3"/>
  <c r="AK1241" i="3"/>
  <c r="AI1241" i="3"/>
  <c r="AF1241" i="3"/>
  <c r="AH1241" i="3" s="1"/>
  <c r="AE1241" i="3"/>
  <c r="AA1241" i="3"/>
  <c r="W1241" i="3"/>
  <c r="X1241" i="3" s="1"/>
  <c r="V1241" i="3"/>
  <c r="R1241" i="3"/>
  <c r="S1241" i="3" s="1"/>
  <c r="N1241" i="3"/>
  <c r="AD1241" i="3" s="1"/>
  <c r="M1241" i="3"/>
  <c r="J1241" i="3"/>
  <c r="H1241" i="3"/>
  <c r="I1241" i="3" s="1"/>
  <c r="T1241" i="3" s="1"/>
  <c r="AI1240" i="3"/>
  <c r="AF1240" i="3"/>
  <c r="AH1240" i="3" s="1"/>
  <c r="X1240" i="3"/>
  <c r="W1240" i="3"/>
  <c r="V1240" i="3"/>
  <c r="R1240" i="3"/>
  <c r="N1240" i="3"/>
  <c r="M1240" i="3"/>
  <c r="H1240" i="3"/>
  <c r="I1240" i="3" s="1"/>
  <c r="T1240" i="3" s="1"/>
  <c r="Y1239" i="3"/>
  <c r="J1239" i="3"/>
  <c r="I1305" i="3" s="1"/>
  <c r="T1305" i="3" s="1"/>
  <c r="I1239" i="3"/>
  <c r="X1234" i="3"/>
  <c r="Z1284" i="3" s="1"/>
  <c r="Y1284" i="3" s="1"/>
  <c r="AB1284" i="3" s="1"/>
  <c r="AJ1223" i="3"/>
  <c r="AE1222" i="3"/>
  <c r="V1222" i="3"/>
  <c r="R1222" i="3"/>
  <c r="N1222" i="3"/>
  <c r="M1222" i="3"/>
  <c r="J1222" i="3"/>
  <c r="H1222" i="3"/>
  <c r="AE1221" i="3"/>
  <c r="W1221" i="3"/>
  <c r="V1221" i="3"/>
  <c r="AF1221" i="3" s="1"/>
  <c r="AH1221" i="3" s="1"/>
  <c r="R1221" i="3"/>
  <c r="N1221" i="3"/>
  <c r="AD1221" i="3" s="1"/>
  <c r="M1221" i="3"/>
  <c r="H1221" i="3"/>
  <c r="Y1220" i="3"/>
  <c r="J1220" i="3"/>
  <c r="I1220" i="3"/>
  <c r="AE1214" i="3"/>
  <c r="V1214" i="3"/>
  <c r="R1214" i="3"/>
  <c r="N1214" i="3"/>
  <c r="M1214" i="3"/>
  <c r="J1214" i="3"/>
  <c r="H1214" i="3"/>
  <c r="AF1213" i="3"/>
  <c r="AH1213" i="3" s="1"/>
  <c r="AE1213" i="3"/>
  <c r="W1213" i="3"/>
  <c r="X1213" i="3" s="1"/>
  <c r="V1213" i="3"/>
  <c r="R1213" i="3"/>
  <c r="N1213" i="3"/>
  <c r="M1213" i="3"/>
  <c r="H1213" i="3"/>
  <c r="I1213" i="3" s="1"/>
  <c r="T1213" i="3" s="1"/>
  <c r="AF1212" i="3"/>
  <c r="AH1212" i="3" s="1"/>
  <c r="X1212" i="3"/>
  <c r="W1212" i="3"/>
  <c r="V1212" i="3"/>
  <c r="R1212" i="3"/>
  <c r="N1212" i="3"/>
  <c r="M1212" i="3"/>
  <c r="I1212" i="3"/>
  <c r="H1212" i="3"/>
  <c r="AE1211" i="3"/>
  <c r="V1211" i="3"/>
  <c r="R1211" i="3"/>
  <c r="P1211" i="3"/>
  <c r="N1211" i="3"/>
  <c r="M1211" i="3"/>
  <c r="J1211" i="3"/>
  <c r="I1211" i="3"/>
  <c r="T1211" i="3" s="1"/>
  <c r="H1211" i="3"/>
  <c r="AK1210" i="3"/>
  <c r="AE1210" i="3"/>
  <c r="W1210" i="3"/>
  <c r="V1210" i="3"/>
  <c r="AF1210" i="3" s="1"/>
  <c r="AH1210" i="3" s="1"/>
  <c r="R1210" i="3"/>
  <c r="N1210" i="3"/>
  <c r="M1210" i="3"/>
  <c r="J1210" i="3"/>
  <c r="S1210" i="3" s="1"/>
  <c r="H1210" i="3"/>
  <c r="I1210" i="3" s="1"/>
  <c r="T1210" i="3" s="1"/>
  <c r="AF1209" i="3"/>
  <c r="AH1209" i="3" s="1"/>
  <c r="W1209" i="3"/>
  <c r="X1209" i="3" s="1"/>
  <c r="V1209" i="3"/>
  <c r="R1209" i="3"/>
  <c r="N1209" i="3"/>
  <c r="M1209" i="3"/>
  <c r="H1209" i="3"/>
  <c r="I1209" i="3" s="1"/>
  <c r="AJ1208" i="3"/>
  <c r="AJ1215" i="3" s="1"/>
  <c r="AE1208" i="3"/>
  <c r="W1208" i="3"/>
  <c r="V1208" i="3"/>
  <c r="AF1208" i="3" s="1"/>
  <c r="R1208" i="3"/>
  <c r="N1208" i="3"/>
  <c r="M1208" i="3"/>
  <c r="J1208" i="3"/>
  <c r="H1208" i="3"/>
  <c r="I1208" i="3" s="1"/>
  <c r="Y1207" i="3"/>
  <c r="J1207" i="3"/>
  <c r="I1207" i="3"/>
  <c r="AF1201" i="3"/>
  <c r="AH1201" i="3" s="1"/>
  <c r="V1201" i="3"/>
  <c r="W1201" i="3" s="1"/>
  <c r="X1201" i="3" s="1"/>
  <c r="R1201" i="3"/>
  <c r="N1201" i="3"/>
  <c r="M1201" i="3"/>
  <c r="I1201" i="3"/>
  <c r="T1201" i="3" s="1"/>
  <c r="H1201" i="3"/>
  <c r="AF1200" i="3"/>
  <c r="AH1200" i="3" s="1"/>
  <c r="AA1200" i="3"/>
  <c r="X1200" i="3"/>
  <c r="W1200" i="3"/>
  <c r="V1200" i="3"/>
  <c r="R1200" i="3"/>
  <c r="N1200" i="3"/>
  <c r="M1200" i="3"/>
  <c r="H1200" i="3"/>
  <c r="I1200" i="3" s="1"/>
  <c r="T1200" i="3" s="1"/>
  <c r="AE1199" i="3"/>
  <c r="V1199" i="3"/>
  <c r="R1199" i="3"/>
  <c r="N1199" i="3"/>
  <c r="M1199" i="3"/>
  <c r="J1199" i="3"/>
  <c r="S1199" i="3" s="1"/>
  <c r="AK1199" i="3" s="1"/>
  <c r="H1199" i="3"/>
  <c r="I1199" i="3" s="1"/>
  <c r="AJ1198" i="3"/>
  <c r="AE1198" i="3"/>
  <c r="V1198" i="3"/>
  <c r="R1198" i="3"/>
  <c r="O1198" i="3"/>
  <c r="N1198" i="3"/>
  <c r="M1198" i="3"/>
  <c r="J1198" i="3"/>
  <c r="S1198" i="3" s="1"/>
  <c r="I1198" i="3"/>
  <c r="H1198" i="3"/>
  <c r="AJ1197" i="3"/>
  <c r="AF1197" i="3"/>
  <c r="AH1197" i="3" s="1"/>
  <c r="X1197" i="3"/>
  <c r="V1197" i="3"/>
  <c r="W1197" i="3" s="1"/>
  <c r="T1197" i="3"/>
  <c r="R1197" i="3"/>
  <c r="N1197" i="3"/>
  <c r="M1197" i="3"/>
  <c r="I1197" i="3"/>
  <c r="H1197" i="3"/>
  <c r="AJ1196" i="3"/>
  <c r="AF1196" i="3"/>
  <c r="AH1196" i="3" s="1"/>
  <c r="AE1196" i="3"/>
  <c r="W1196" i="3"/>
  <c r="X1196" i="3" s="1"/>
  <c r="V1196" i="3"/>
  <c r="R1196" i="3"/>
  <c r="N1196" i="3"/>
  <c r="M1196" i="3"/>
  <c r="H1196" i="3"/>
  <c r="I1196" i="3" s="1"/>
  <c r="AJ1195" i="3"/>
  <c r="AE1195" i="3"/>
  <c r="W1195" i="3"/>
  <c r="V1195" i="3"/>
  <c r="AF1195" i="3" s="1"/>
  <c r="AH1195" i="3" s="1"/>
  <c r="R1195" i="3"/>
  <c r="N1195" i="3"/>
  <c r="M1195" i="3"/>
  <c r="J1195" i="3"/>
  <c r="S1195" i="3" s="1"/>
  <c r="H1195" i="3"/>
  <c r="I1195" i="3" s="1"/>
  <c r="Y1194" i="3"/>
  <c r="J1194" i="3"/>
  <c r="I1194" i="3"/>
  <c r="AJ1189" i="3"/>
  <c r="AH1189" i="3"/>
  <c r="AF1189" i="3"/>
  <c r="V1189" i="3"/>
  <c r="W1189" i="3" s="1"/>
  <c r="X1189" i="3" s="1"/>
  <c r="R1189" i="3"/>
  <c r="N1189" i="3"/>
  <c r="M1189" i="3"/>
  <c r="H1189" i="3"/>
  <c r="I1189" i="3" s="1"/>
  <c r="T1189" i="3" s="1"/>
  <c r="AJ1188" i="3"/>
  <c r="AF1188" i="3"/>
  <c r="AH1188" i="3" s="1"/>
  <c r="X1188" i="3"/>
  <c r="W1188" i="3"/>
  <c r="V1188" i="3"/>
  <c r="R1188" i="3"/>
  <c r="N1188" i="3"/>
  <c r="M1188" i="3"/>
  <c r="H1188" i="3"/>
  <c r="I1188" i="3" s="1"/>
  <c r="AJ1187" i="3"/>
  <c r="AK1187" i="3" s="1"/>
  <c r="AE1187" i="3"/>
  <c r="V1187" i="3"/>
  <c r="R1187" i="3"/>
  <c r="N1187" i="3"/>
  <c r="M1187" i="3"/>
  <c r="J1187" i="3"/>
  <c r="S1187" i="3" s="1"/>
  <c r="H1187" i="3"/>
  <c r="I1187" i="3" s="1"/>
  <c r="T1187" i="3" s="1"/>
  <c r="AJ1186" i="3"/>
  <c r="AE1186" i="3"/>
  <c r="V1186" i="3"/>
  <c r="R1186" i="3"/>
  <c r="O1186" i="3"/>
  <c r="N1186" i="3"/>
  <c r="M1186" i="3"/>
  <c r="J1186" i="3"/>
  <c r="S1186" i="3" s="1"/>
  <c r="I1186" i="3"/>
  <c r="H1186" i="3"/>
  <c r="Y1185" i="3"/>
  <c r="J1185" i="3"/>
  <c r="I1185" i="3"/>
  <c r="AJ1181" i="3"/>
  <c r="AF1181" i="3"/>
  <c r="AH1181" i="3" s="1"/>
  <c r="AE1181" i="3"/>
  <c r="W1181" i="3"/>
  <c r="X1181" i="3" s="1"/>
  <c r="V1181" i="3"/>
  <c r="R1181" i="3"/>
  <c r="N1181" i="3"/>
  <c r="M1181" i="3"/>
  <c r="H1181" i="3"/>
  <c r="I1181" i="3" s="1"/>
  <c r="Y1180" i="3"/>
  <c r="J1180" i="3"/>
  <c r="I1180" i="3"/>
  <c r="AJ1177" i="3"/>
  <c r="AH1177" i="3"/>
  <c r="AE1177" i="3"/>
  <c r="W1177" i="3"/>
  <c r="V1177" i="3"/>
  <c r="AF1177" i="3" s="1"/>
  <c r="R1177" i="3"/>
  <c r="N1177" i="3"/>
  <c r="M1177" i="3"/>
  <c r="J1177" i="3"/>
  <c r="S1177" i="3" s="1"/>
  <c r="H1177" i="3"/>
  <c r="I1177" i="3" s="1"/>
  <c r="T1177" i="3" s="1"/>
  <c r="AJ1176" i="3"/>
  <c r="AE1176" i="3"/>
  <c r="V1176" i="3"/>
  <c r="R1176" i="3"/>
  <c r="N1176" i="3"/>
  <c r="M1176" i="3"/>
  <c r="J1176" i="3"/>
  <c r="S1176" i="3" s="1"/>
  <c r="H1176" i="3"/>
  <c r="I1176" i="3" s="1"/>
  <c r="AJ1175" i="3"/>
  <c r="AE1175" i="3"/>
  <c r="V1175" i="3"/>
  <c r="R1175" i="3"/>
  <c r="O1175" i="3"/>
  <c r="N1175" i="3"/>
  <c r="M1175" i="3"/>
  <c r="J1175" i="3"/>
  <c r="S1175" i="3" s="1"/>
  <c r="I1175" i="3"/>
  <c r="H1175" i="3"/>
  <c r="AJ1174" i="3"/>
  <c r="AF1174" i="3"/>
  <c r="AH1174" i="3" s="1"/>
  <c r="X1174" i="3"/>
  <c r="V1174" i="3"/>
  <c r="W1174" i="3" s="1"/>
  <c r="R1174" i="3"/>
  <c r="N1174" i="3"/>
  <c r="M1174" i="3"/>
  <c r="I1174" i="3"/>
  <c r="T1174" i="3" s="1"/>
  <c r="H1174" i="3"/>
  <c r="AJ1173" i="3"/>
  <c r="AF1173" i="3"/>
  <c r="AE1173" i="3"/>
  <c r="AA1173" i="3"/>
  <c r="W1173" i="3"/>
  <c r="X1173" i="3" s="1"/>
  <c r="V1173" i="3"/>
  <c r="R1173" i="3"/>
  <c r="J1173" i="3"/>
  <c r="H1173" i="3"/>
  <c r="I1173" i="3" s="1"/>
  <c r="AJ1172" i="3"/>
  <c r="AE1172" i="3"/>
  <c r="V1172" i="3"/>
  <c r="R1172" i="3"/>
  <c r="O1172" i="3"/>
  <c r="N1172" i="3"/>
  <c r="M1172" i="3"/>
  <c r="J1172" i="3"/>
  <c r="S1172" i="3" s="1"/>
  <c r="I1172" i="3"/>
  <c r="H1172" i="3"/>
  <c r="Y1171" i="3"/>
  <c r="J1171" i="3"/>
  <c r="I1171" i="3"/>
  <c r="AF1169" i="3"/>
  <c r="AH1169" i="3" s="1"/>
  <c r="AE1169" i="3"/>
  <c r="W1169" i="3"/>
  <c r="X1169" i="3" s="1"/>
  <c r="V1169" i="3"/>
  <c r="R1169" i="3"/>
  <c r="N1169" i="3"/>
  <c r="M1169" i="3"/>
  <c r="H1169" i="3"/>
  <c r="I1169" i="3" s="1"/>
  <c r="T1169" i="3" s="1"/>
  <c r="AE1168" i="3"/>
  <c r="V1168" i="3"/>
  <c r="R1168" i="3"/>
  <c r="N1168" i="3"/>
  <c r="M1168" i="3"/>
  <c r="J1168" i="3"/>
  <c r="S1168" i="3" s="1"/>
  <c r="AK1168" i="3" s="1"/>
  <c r="H1168" i="3"/>
  <c r="I1168" i="3" s="1"/>
  <c r="AE1167" i="3"/>
  <c r="V1167" i="3"/>
  <c r="T1167" i="3"/>
  <c r="R1167" i="3"/>
  <c r="P1167" i="3"/>
  <c r="N1167" i="3"/>
  <c r="M1167" i="3"/>
  <c r="J1167" i="3"/>
  <c r="I1167" i="3"/>
  <c r="H1167" i="3"/>
  <c r="AJ1166" i="3"/>
  <c r="AH1166" i="3"/>
  <c r="AF1166" i="3"/>
  <c r="V1166" i="3"/>
  <c r="W1166" i="3" s="1"/>
  <c r="X1166" i="3" s="1"/>
  <c r="R1166" i="3"/>
  <c r="N1166" i="3"/>
  <c r="M1166" i="3"/>
  <c r="H1166" i="3"/>
  <c r="I1166" i="3" s="1"/>
  <c r="T1166" i="3" s="1"/>
  <c r="AJ1165" i="3"/>
  <c r="AF1165" i="3"/>
  <c r="AH1165" i="3" s="1"/>
  <c r="AA1165" i="3"/>
  <c r="X1165" i="3"/>
  <c r="W1165" i="3"/>
  <c r="V1165" i="3"/>
  <c r="R1165" i="3"/>
  <c r="N1165" i="3"/>
  <c r="M1165" i="3"/>
  <c r="H1165" i="3"/>
  <c r="I1165" i="3" s="1"/>
  <c r="T1165" i="3" s="1"/>
  <c r="AJ1164" i="3"/>
  <c r="AE1164" i="3"/>
  <c r="X1164" i="3"/>
  <c r="V1164" i="3"/>
  <c r="W1164" i="3" s="1"/>
  <c r="R1164" i="3"/>
  <c r="H1164" i="3"/>
  <c r="I1164" i="3" s="1"/>
  <c r="T1164" i="3" s="1"/>
  <c r="AJ1163" i="3"/>
  <c r="AF1163" i="3"/>
  <c r="AH1163" i="3" s="1"/>
  <c r="X1163" i="3"/>
  <c r="W1163" i="3"/>
  <c r="V1163" i="3"/>
  <c r="R1163" i="3"/>
  <c r="N1163" i="3"/>
  <c r="M1163" i="3"/>
  <c r="H1163" i="3"/>
  <c r="I1163" i="3" s="1"/>
  <c r="Y1162" i="3"/>
  <c r="J1162" i="3"/>
  <c r="I1162" i="3"/>
  <c r="AJ1161" i="3"/>
  <c r="AF1160" i="3"/>
  <c r="AH1160" i="3" s="1"/>
  <c r="AE1160" i="3"/>
  <c r="AA1160" i="3"/>
  <c r="X1160" i="3"/>
  <c r="W1160" i="3"/>
  <c r="V1160" i="3"/>
  <c r="R1160" i="3"/>
  <c r="N1160" i="3"/>
  <c r="M1160" i="3"/>
  <c r="H1160" i="3"/>
  <c r="I1160" i="3" s="1"/>
  <c r="T1160" i="3" s="1"/>
  <c r="AH1159" i="3"/>
  <c r="AF1159" i="3"/>
  <c r="V1159" i="3"/>
  <c r="W1159" i="3" s="1"/>
  <c r="X1159" i="3" s="1"/>
  <c r="T1159" i="3"/>
  <c r="R1159" i="3"/>
  <c r="N1159" i="3"/>
  <c r="M1159" i="3"/>
  <c r="H1159" i="3"/>
  <c r="I1159" i="3" s="1"/>
  <c r="AE1158" i="3"/>
  <c r="V1158" i="3"/>
  <c r="R1158" i="3"/>
  <c r="N1158" i="3"/>
  <c r="M1158" i="3"/>
  <c r="J1158" i="3"/>
  <c r="S1158" i="3" s="1"/>
  <c r="AK1158" i="3" s="1"/>
  <c r="H1158" i="3"/>
  <c r="I1158" i="3" s="1"/>
  <c r="T1158" i="3" s="1"/>
  <c r="AF1157" i="3"/>
  <c r="AH1157" i="3" s="1"/>
  <c r="W1157" i="3"/>
  <c r="X1157" i="3" s="1"/>
  <c r="V1157" i="3"/>
  <c r="R1157" i="3"/>
  <c r="N1157" i="3"/>
  <c r="M1157" i="3"/>
  <c r="H1157" i="3"/>
  <c r="I1157" i="3" s="1"/>
  <c r="T1157" i="3" s="1"/>
  <c r="AH1156" i="3"/>
  <c r="AF1156" i="3"/>
  <c r="V1156" i="3"/>
  <c r="W1156" i="3" s="1"/>
  <c r="X1156" i="3" s="1"/>
  <c r="T1156" i="3"/>
  <c r="R1156" i="3"/>
  <c r="N1156" i="3"/>
  <c r="M1156" i="3"/>
  <c r="H1156" i="3"/>
  <c r="I1156" i="3" s="1"/>
  <c r="AE1155" i="3"/>
  <c r="V1155" i="3"/>
  <c r="T1155" i="3"/>
  <c r="R1155" i="3"/>
  <c r="O1155" i="3"/>
  <c r="N1155" i="3"/>
  <c r="M1155" i="3"/>
  <c r="J1155" i="3"/>
  <c r="S1155" i="3" s="1"/>
  <c r="AK1155" i="3" s="1"/>
  <c r="I1155" i="3"/>
  <c r="P1155" i="3" s="1"/>
  <c r="H1155" i="3"/>
  <c r="AE1154" i="3"/>
  <c r="W1154" i="3"/>
  <c r="V1154" i="3"/>
  <c r="AF1154" i="3" s="1"/>
  <c r="AH1154" i="3" s="1"/>
  <c r="R1154" i="3"/>
  <c r="N1154" i="3"/>
  <c r="M1154" i="3"/>
  <c r="J1154" i="3"/>
  <c r="H1154" i="3"/>
  <c r="I1154" i="3" s="1"/>
  <c r="AF1153" i="3"/>
  <c r="AH1153" i="3" s="1"/>
  <c r="X1153" i="3"/>
  <c r="W1153" i="3"/>
  <c r="V1153" i="3"/>
  <c r="R1153" i="3"/>
  <c r="N1153" i="3"/>
  <c r="M1153" i="3"/>
  <c r="H1153" i="3"/>
  <c r="I1153" i="3" s="1"/>
  <c r="T1153" i="3" s="1"/>
  <c r="AF1152" i="3"/>
  <c r="AH1152" i="3" s="1"/>
  <c r="X1152" i="3"/>
  <c r="V1152" i="3"/>
  <c r="W1152" i="3" s="1"/>
  <c r="R1152" i="3"/>
  <c r="N1152" i="3"/>
  <c r="M1152" i="3"/>
  <c r="I1152" i="3"/>
  <c r="T1152" i="3" s="1"/>
  <c r="H1152" i="3"/>
  <c r="AE1151" i="3"/>
  <c r="V1151" i="3"/>
  <c r="T1151" i="3"/>
  <c r="R1151" i="3"/>
  <c r="O1151" i="3"/>
  <c r="N1151" i="3"/>
  <c r="M1151" i="3"/>
  <c r="J1151" i="3"/>
  <c r="S1151" i="3" s="1"/>
  <c r="AK1151" i="3" s="1"/>
  <c r="I1151" i="3"/>
  <c r="P1151" i="3" s="1"/>
  <c r="H1151" i="3"/>
  <c r="AI1150" i="3"/>
  <c r="AE1150" i="3"/>
  <c r="W1150" i="3"/>
  <c r="V1150" i="3"/>
  <c r="AF1150" i="3" s="1"/>
  <c r="AH1150" i="3" s="1"/>
  <c r="R1150" i="3"/>
  <c r="N1150" i="3"/>
  <c r="M1150" i="3"/>
  <c r="J1150" i="3"/>
  <c r="S1150" i="3" s="1"/>
  <c r="AK1150" i="3" s="1"/>
  <c r="H1150" i="3"/>
  <c r="I1150" i="3" s="1"/>
  <c r="T1150" i="3" s="1"/>
  <c r="AF1149" i="3"/>
  <c r="AH1149" i="3" s="1"/>
  <c r="W1149" i="3"/>
  <c r="X1149" i="3" s="1"/>
  <c r="V1149" i="3"/>
  <c r="R1149" i="3"/>
  <c r="N1149" i="3"/>
  <c r="M1149" i="3"/>
  <c r="H1149" i="3"/>
  <c r="I1149" i="3" s="1"/>
  <c r="T1149" i="3" s="1"/>
  <c r="AF1148" i="3"/>
  <c r="AH1148" i="3" s="1"/>
  <c r="V1148" i="3"/>
  <c r="W1148" i="3" s="1"/>
  <c r="X1148" i="3" s="1"/>
  <c r="R1148" i="3"/>
  <c r="N1148" i="3"/>
  <c r="M1148" i="3"/>
  <c r="I1148" i="3"/>
  <c r="T1148" i="3" s="1"/>
  <c r="H1148" i="3"/>
  <c r="Y1147" i="3"/>
  <c r="J1147" i="3"/>
  <c r="I1147" i="3"/>
  <c r="AF1143" i="3"/>
  <c r="AH1143" i="3" s="1"/>
  <c r="X1143" i="3"/>
  <c r="W1143" i="3"/>
  <c r="V1143" i="3"/>
  <c r="R1143" i="3"/>
  <c r="N1143" i="3"/>
  <c r="M1143" i="3"/>
  <c r="H1143" i="3"/>
  <c r="I1143" i="3" s="1"/>
  <c r="T1143" i="3" s="1"/>
  <c r="AF1142" i="3"/>
  <c r="AH1142" i="3" s="1"/>
  <c r="X1142" i="3"/>
  <c r="AA1142" i="3" s="1"/>
  <c r="V1142" i="3"/>
  <c r="W1142" i="3" s="1"/>
  <c r="T1142" i="3"/>
  <c r="S1142" i="3"/>
  <c r="AK1142" i="3" s="1"/>
  <c r="R1142" i="3"/>
  <c r="N1142" i="3"/>
  <c r="M1142" i="3"/>
  <c r="J1142" i="3"/>
  <c r="H1142" i="3"/>
  <c r="I1142" i="3" s="1"/>
  <c r="AK1141" i="3"/>
  <c r="AH1141" i="3"/>
  <c r="W1141" i="3"/>
  <c r="X1141" i="3" s="1"/>
  <c r="V1141" i="3"/>
  <c r="AF1141" i="3" s="1"/>
  <c r="S1141" i="3"/>
  <c r="R1141" i="3"/>
  <c r="N1141" i="3"/>
  <c r="M1141" i="3"/>
  <c r="J1141" i="3"/>
  <c r="H1141" i="3"/>
  <c r="I1141" i="3" s="1"/>
  <c r="T1141" i="3" s="1"/>
  <c r="AF1140" i="3"/>
  <c r="AH1140" i="3" s="1"/>
  <c r="AE1140" i="3"/>
  <c r="AA1140" i="3"/>
  <c r="X1140" i="3"/>
  <c r="W1140" i="3"/>
  <c r="V1140" i="3"/>
  <c r="R1140" i="3"/>
  <c r="N1140" i="3"/>
  <c r="M1140" i="3"/>
  <c r="H1140" i="3"/>
  <c r="I1140" i="3" s="1"/>
  <c r="T1140" i="3" s="1"/>
  <c r="AF1139" i="3"/>
  <c r="AH1139" i="3" s="1"/>
  <c r="AD1139" i="3"/>
  <c r="X1139" i="3"/>
  <c r="V1139" i="3"/>
  <c r="W1139" i="3" s="1"/>
  <c r="S1139" i="3"/>
  <c r="AK1139" i="3" s="1"/>
  <c r="R1139" i="3"/>
  <c r="O1139" i="3"/>
  <c r="N1139" i="3"/>
  <c r="M1139" i="3"/>
  <c r="J1139" i="3"/>
  <c r="I1139" i="3"/>
  <c r="T1139" i="3" s="1"/>
  <c r="H1139" i="3"/>
  <c r="AE1138" i="3"/>
  <c r="V1138" i="3"/>
  <c r="T1138" i="3"/>
  <c r="R1138" i="3"/>
  <c r="O1138" i="3"/>
  <c r="N1138" i="3"/>
  <c r="M1138" i="3"/>
  <c r="J1138" i="3"/>
  <c r="I1138" i="3"/>
  <c r="P1138" i="3" s="1"/>
  <c r="H1138" i="3"/>
  <c r="AJ1137" i="3"/>
  <c r="V1137" i="3"/>
  <c r="S1137" i="3"/>
  <c r="R1137" i="3"/>
  <c r="N1137" i="3"/>
  <c r="M1137" i="3"/>
  <c r="J1137" i="3"/>
  <c r="H1137" i="3"/>
  <c r="I1137" i="3" s="1"/>
  <c r="T1137" i="3" s="1"/>
  <c r="Y1136" i="3"/>
  <c r="J1136" i="3"/>
  <c r="I1136" i="3"/>
  <c r="AF1133" i="3"/>
  <c r="AH1133" i="3" s="1"/>
  <c r="AA1133" i="3"/>
  <c r="X1133" i="3"/>
  <c r="W1133" i="3"/>
  <c r="V1133" i="3"/>
  <c r="R1133" i="3"/>
  <c r="N1133" i="3"/>
  <c r="M1133" i="3"/>
  <c r="I1133" i="3"/>
  <c r="T1133" i="3" s="1"/>
  <c r="H1133" i="3"/>
  <c r="AE1132" i="3"/>
  <c r="AD1132" i="3"/>
  <c r="X1132" i="3"/>
  <c r="V1132" i="3"/>
  <c r="W1132" i="3" s="1"/>
  <c r="R1132" i="3"/>
  <c r="N1132" i="3"/>
  <c r="M1132" i="3"/>
  <c r="J1132" i="3"/>
  <c r="H1132" i="3"/>
  <c r="I1132" i="3" s="1"/>
  <c r="AK1131" i="3"/>
  <c r="AE1131" i="3"/>
  <c r="V1131" i="3"/>
  <c r="R1131" i="3"/>
  <c r="O1131" i="3"/>
  <c r="N1131" i="3"/>
  <c r="M1131" i="3"/>
  <c r="J1131" i="3"/>
  <c r="S1131" i="3" s="1"/>
  <c r="I1131" i="3"/>
  <c r="H1131" i="3"/>
  <c r="AJ1130" i="3"/>
  <c r="AD1130" i="3"/>
  <c r="V1130" i="3"/>
  <c r="W1130" i="3" s="1"/>
  <c r="X1130" i="3" s="1"/>
  <c r="T1130" i="3"/>
  <c r="R1130" i="3"/>
  <c r="P1130" i="3"/>
  <c r="N1130" i="3"/>
  <c r="M1130" i="3"/>
  <c r="J1130" i="3"/>
  <c r="I1130" i="3"/>
  <c r="H1130" i="3"/>
  <c r="AJ1129" i="3"/>
  <c r="AH1129" i="3"/>
  <c r="AF1129" i="3"/>
  <c r="AA1129" i="3"/>
  <c r="W1129" i="3"/>
  <c r="X1129" i="3" s="1"/>
  <c r="V1129" i="3"/>
  <c r="R1129" i="3"/>
  <c r="N1129" i="3"/>
  <c r="M1129" i="3"/>
  <c r="I1129" i="3"/>
  <c r="H1129" i="3"/>
  <c r="AJ1128" i="3"/>
  <c r="AE1128" i="3"/>
  <c r="W1128" i="3"/>
  <c r="V1128" i="3"/>
  <c r="AF1128" i="3" s="1"/>
  <c r="AH1128" i="3" s="1"/>
  <c r="S1128" i="3"/>
  <c r="R1128" i="3"/>
  <c r="N1128" i="3"/>
  <c r="M1128" i="3"/>
  <c r="J1128" i="3"/>
  <c r="H1128" i="3"/>
  <c r="I1128" i="3" s="1"/>
  <c r="T1128" i="3" s="1"/>
  <c r="AJ1127" i="3"/>
  <c r="AE1127" i="3"/>
  <c r="V1127" i="3"/>
  <c r="R1127" i="3"/>
  <c r="O1127" i="3"/>
  <c r="N1127" i="3"/>
  <c r="M1127" i="3"/>
  <c r="J1127" i="3"/>
  <c r="I1127" i="3"/>
  <c r="H1127" i="3"/>
  <c r="Y1126" i="3"/>
  <c r="J1126" i="3"/>
  <c r="I1126" i="3"/>
  <c r="AH1121" i="3"/>
  <c r="AE1121" i="3"/>
  <c r="W1121" i="3"/>
  <c r="V1121" i="3"/>
  <c r="AF1121" i="3" s="1"/>
  <c r="R1121" i="3"/>
  <c r="T1121" i="3" s="1"/>
  <c r="P1121" i="3"/>
  <c r="N1121" i="3"/>
  <c r="M1121" i="3"/>
  <c r="J1121" i="3"/>
  <c r="I1121" i="3"/>
  <c r="H1121" i="3"/>
  <c r="V1120" i="3"/>
  <c r="R1120" i="3"/>
  <c r="N1120" i="3"/>
  <c r="M1120" i="3"/>
  <c r="J1120" i="3"/>
  <c r="S1120" i="3" s="1"/>
  <c r="AK1120" i="3" s="1"/>
  <c r="H1120" i="3"/>
  <c r="I1120" i="3" s="1"/>
  <c r="T1120" i="3" s="1"/>
  <c r="AH1119" i="3"/>
  <c r="AF1119" i="3"/>
  <c r="W1119" i="3"/>
  <c r="X1119" i="3" s="1"/>
  <c r="V1119" i="3"/>
  <c r="R1119" i="3"/>
  <c r="N1119" i="3"/>
  <c r="M1119" i="3"/>
  <c r="H1119" i="3"/>
  <c r="I1119" i="3" s="1"/>
  <c r="T1119" i="3" s="1"/>
  <c r="AJ1118" i="3"/>
  <c r="AD1118" i="3"/>
  <c r="AA1118" i="3"/>
  <c r="V1118" i="3"/>
  <c r="W1118" i="3" s="1"/>
  <c r="X1118" i="3" s="1"/>
  <c r="R1118" i="3"/>
  <c r="N1118" i="3"/>
  <c r="M1118" i="3"/>
  <c r="J1118" i="3"/>
  <c r="S1118" i="3" s="1"/>
  <c r="H1118" i="3"/>
  <c r="I1118" i="3" s="1"/>
  <c r="AJ1117" i="3"/>
  <c r="AE1117" i="3"/>
  <c r="V1117" i="3"/>
  <c r="R1117" i="3"/>
  <c r="P1117" i="3"/>
  <c r="N1117" i="3"/>
  <c r="M1117" i="3"/>
  <c r="J1117" i="3"/>
  <c r="I1117" i="3"/>
  <c r="T1117" i="3" s="1"/>
  <c r="H1117" i="3"/>
  <c r="AJ1116" i="3"/>
  <c r="AH1116" i="3"/>
  <c r="AF1116" i="3"/>
  <c r="V1116" i="3"/>
  <c r="W1116" i="3" s="1"/>
  <c r="X1116" i="3" s="1"/>
  <c r="AA1116" i="3" s="1"/>
  <c r="S1116" i="3"/>
  <c r="R1116" i="3"/>
  <c r="N1116" i="3"/>
  <c r="M1116" i="3"/>
  <c r="J1116" i="3"/>
  <c r="H1116" i="3"/>
  <c r="I1116" i="3" s="1"/>
  <c r="T1116" i="3" s="1"/>
  <c r="AJ1115" i="3"/>
  <c r="AF1115" i="3"/>
  <c r="AH1115" i="3" s="1"/>
  <c r="W1115" i="3"/>
  <c r="X1115" i="3" s="1"/>
  <c r="V1115" i="3"/>
  <c r="R1115" i="3"/>
  <c r="N1115" i="3"/>
  <c r="M1115" i="3"/>
  <c r="H1115" i="3"/>
  <c r="I1115" i="3" s="1"/>
  <c r="T1115" i="3" s="1"/>
  <c r="Y1114" i="3"/>
  <c r="J1114" i="3"/>
  <c r="I1114" i="3"/>
  <c r="X1108" i="3"/>
  <c r="AJ1098" i="3"/>
  <c r="AE1098" i="3"/>
  <c r="AA1098" i="3"/>
  <c r="W1098" i="3"/>
  <c r="X1098" i="3" s="1"/>
  <c r="Z1098" i="3" s="1"/>
  <c r="V1098" i="3"/>
  <c r="AF1098" i="3" s="1"/>
  <c r="AH1098" i="3" s="1"/>
  <c r="R1098" i="3"/>
  <c r="N1098" i="3"/>
  <c r="M1098" i="3"/>
  <c r="H1098" i="3"/>
  <c r="J1097" i="3"/>
  <c r="I1097" i="3"/>
  <c r="AE1094" i="3"/>
  <c r="V1094" i="3"/>
  <c r="R1094" i="3"/>
  <c r="N1094" i="3"/>
  <c r="M1094" i="3"/>
  <c r="I1094" i="3"/>
  <c r="T1094" i="3" s="1"/>
  <c r="I1093" i="3"/>
  <c r="AJ1089" i="3"/>
  <c r="AE1089" i="3"/>
  <c r="W1089" i="3"/>
  <c r="V1089" i="3"/>
  <c r="AF1089" i="3" s="1"/>
  <c r="AH1089" i="3" s="1"/>
  <c r="R1089" i="3"/>
  <c r="N1089" i="3"/>
  <c r="M1089" i="3"/>
  <c r="H1089" i="3"/>
  <c r="AJ1088" i="3"/>
  <c r="AD1088" i="3"/>
  <c r="Z1088" i="3"/>
  <c r="V1088" i="3"/>
  <c r="W1088" i="3" s="1"/>
  <c r="X1088" i="3" s="1"/>
  <c r="AA1088" i="3" s="1"/>
  <c r="R1088" i="3"/>
  <c r="N1088" i="3"/>
  <c r="M1088" i="3"/>
  <c r="J1088" i="3"/>
  <c r="S1088" i="3" s="1"/>
  <c r="H1088" i="3"/>
  <c r="J1087" i="3"/>
  <c r="I1087" i="3"/>
  <c r="AJ1084" i="3"/>
  <c r="AH1084" i="3"/>
  <c r="AE1084" i="3"/>
  <c r="AD1084" i="3"/>
  <c r="AA1084" i="3"/>
  <c r="W1084" i="3"/>
  <c r="X1084" i="3" s="1"/>
  <c r="Z1084" i="3" s="1"/>
  <c r="V1084" i="3"/>
  <c r="AF1084" i="3" s="1"/>
  <c r="R1084" i="3"/>
  <c r="N1084" i="3"/>
  <c r="M1084" i="3"/>
  <c r="H1084" i="3"/>
  <c r="J1083" i="3"/>
  <c r="I1083" i="3"/>
  <c r="AJ1079" i="3"/>
  <c r="AE1079" i="3"/>
  <c r="W1079" i="3"/>
  <c r="X1079" i="3" s="1"/>
  <c r="V1079" i="3"/>
  <c r="AF1079" i="3" s="1"/>
  <c r="AH1079" i="3" s="1"/>
  <c r="R1079" i="3"/>
  <c r="N1079" i="3"/>
  <c r="M1079" i="3"/>
  <c r="H1079" i="3"/>
  <c r="J1078" i="3"/>
  <c r="I1078" i="3"/>
  <c r="AJ1074" i="3"/>
  <c r="AH1074" i="3"/>
  <c r="AF1074" i="3"/>
  <c r="AE1074" i="3"/>
  <c r="X1074" i="3"/>
  <c r="W1074" i="3"/>
  <c r="V1074" i="3"/>
  <c r="R1074" i="3"/>
  <c r="N1074" i="3"/>
  <c r="M1074" i="3"/>
  <c r="I1074" i="3"/>
  <c r="T1074" i="3" s="1"/>
  <c r="H1074" i="3"/>
  <c r="J1073" i="3"/>
  <c r="I1073" i="3"/>
  <c r="AJ1067" i="3"/>
  <c r="AE1067" i="3"/>
  <c r="V1067" i="3"/>
  <c r="R1067" i="3"/>
  <c r="N1067" i="3"/>
  <c r="M1067" i="3"/>
  <c r="H1067" i="3"/>
  <c r="J1066" i="3"/>
  <c r="I1066" i="3"/>
  <c r="AJ1062" i="3"/>
  <c r="AH1062" i="3"/>
  <c r="AF1062" i="3"/>
  <c r="W1062" i="3"/>
  <c r="X1062" i="3" s="1"/>
  <c r="V1062" i="3"/>
  <c r="R1062" i="3"/>
  <c r="N1062" i="3"/>
  <c r="M1062" i="3"/>
  <c r="H1062" i="3"/>
  <c r="AJ1061" i="3"/>
  <c r="V1061" i="3"/>
  <c r="W1061" i="3" s="1"/>
  <c r="X1061" i="3" s="1"/>
  <c r="R1061" i="3"/>
  <c r="N1061" i="3"/>
  <c r="M1061" i="3"/>
  <c r="H1061" i="3"/>
  <c r="I1061" i="3" s="1"/>
  <c r="T1061" i="3" s="1"/>
  <c r="AJ1060" i="3"/>
  <c r="AH1060" i="3"/>
  <c r="AE1060" i="3"/>
  <c r="AD1060" i="3"/>
  <c r="W1060" i="3"/>
  <c r="X1060" i="3" s="1"/>
  <c r="V1060" i="3"/>
  <c r="AF1060" i="3" s="1"/>
  <c r="R1060" i="3"/>
  <c r="N1060" i="3"/>
  <c r="M1060" i="3"/>
  <c r="I1060" i="3"/>
  <c r="H1060" i="3"/>
  <c r="AJ1059" i="3"/>
  <c r="AF1059" i="3"/>
  <c r="AH1059" i="3" s="1"/>
  <c r="X1059" i="3"/>
  <c r="AA1059" i="3" s="1"/>
  <c r="V1059" i="3"/>
  <c r="W1059" i="3" s="1"/>
  <c r="R1059" i="3"/>
  <c r="N1059" i="3"/>
  <c r="AE1059" i="3" s="1"/>
  <c r="M1059" i="3"/>
  <c r="H1059" i="3"/>
  <c r="J1058" i="3"/>
  <c r="I1058" i="3"/>
  <c r="AJ1054" i="3"/>
  <c r="AF1054" i="3"/>
  <c r="AA1054" i="3"/>
  <c r="W1054" i="3"/>
  <c r="X1054" i="3" s="1"/>
  <c r="Z1054" i="3" s="1"/>
  <c r="V1054" i="3"/>
  <c r="R1054" i="3"/>
  <c r="N1054" i="3"/>
  <c r="M1054" i="3"/>
  <c r="H1054" i="3"/>
  <c r="AJ1053" i="3"/>
  <c r="AJ1055" i="3" s="1"/>
  <c r="AI1054" i="3" s="1"/>
  <c r="AE1053" i="3"/>
  <c r="W1053" i="3"/>
  <c r="AD1053" i="3" s="1"/>
  <c r="V1053" i="3"/>
  <c r="AF1053" i="3" s="1"/>
  <c r="AH1053" i="3" s="1"/>
  <c r="R1053" i="3"/>
  <c r="N1053" i="3"/>
  <c r="M1053" i="3"/>
  <c r="J1053" i="3"/>
  <c r="S1053" i="3" s="1"/>
  <c r="H1053" i="3"/>
  <c r="I1053" i="3" s="1"/>
  <c r="J1052" i="3"/>
  <c r="I1052" i="3"/>
  <c r="AJ1047" i="3"/>
  <c r="AH1047" i="3"/>
  <c r="AE1047" i="3"/>
  <c r="AD1047" i="3"/>
  <c r="Z1047" i="3"/>
  <c r="W1047" i="3"/>
  <c r="X1047" i="3" s="1"/>
  <c r="AA1047" i="3" s="1"/>
  <c r="V1047" i="3"/>
  <c r="AF1047" i="3" s="1"/>
  <c r="AG1047" i="3" s="1"/>
  <c r="R1047" i="3"/>
  <c r="N1047" i="3"/>
  <c r="M1047" i="3"/>
  <c r="H1047" i="3"/>
  <c r="AJ1046" i="3"/>
  <c r="V1046" i="3"/>
  <c r="R1046" i="3"/>
  <c r="N1046" i="3"/>
  <c r="M1046" i="3"/>
  <c r="J1046" i="3"/>
  <c r="S1046" i="3" s="1"/>
  <c r="H1046" i="3"/>
  <c r="AE1045" i="3"/>
  <c r="V1045" i="3"/>
  <c r="AF1045" i="3" s="1"/>
  <c r="AH1045" i="3" s="1"/>
  <c r="R1045" i="3"/>
  <c r="N1045" i="3"/>
  <c r="M1045" i="3"/>
  <c r="AJ1044" i="3"/>
  <c r="AH1044" i="3"/>
  <c r="AF1044" i="3"/>
  <c r="X1044" i="3"/>
  <c r="AA1044" i="3" s="1"/>
  <c r="V1044" i="3"/>
  <c r="W1044" i="3" s="1"/>
  <c r="R1044" i="3"/>
  <c r="N1044" i="3"/>
  <c r="AE1044" i="3" s="1"/>
  <c r="M1044" i="3"/>
  <c r="J1044" i="3"/>
  <c r="H1044" i="3"/>
  <c r="AJ1043" i="3"/>
  <c r="AH1043" i="3"/>
  <c r="AF1043" i="3"/>
  <c r="W1043" i="3"/>
  <c r="X1043" i="3" s="1"/>
  <c r="V1043" i="3"/>
  <c r="R1043" i="3"/>
  <c r="N1043" i="3"/>
  <c r="M1043" i="3"/>
  <c r="H1043" i="3"/>
  <c r="AJ1042" i="3"/>
  <c r="AF1042" i="3"/>
  <c r="AH1042" i="3" s="1"/>
  <c r="V1042" i="3"/>
  <c r="W1042" i="3" s="1"/>
  <c r="R1042" i="3"/>
  <c r="N1042" i="3"/>
  <c r="M1042" i="3"/>
  <c r="H1042" i="3"/>
  <c r="V1041" i="3"/>
  <c r="R1041" i="3"/>
  <c r="N1041" i="3"/>
  <c r="M1041" i="3"/>
  <c r="I1041" i="3"/>
  <c r="P1041" i="3" s="1"/>
  <c r="AE1040" i="3"/>
  <c r="W1040" i="3"/>
  <c r="V1040" i="3"/>
  <c r="AF1040" i="3" s="1"/>
  <c r="AH1040" i="3" s="1"/>
  <c r="R1040" i="3"/>
  <c r="P1040" i="3"/>
  <c r="N1040" i="3"/>
  <c r="M1040" i="3"/>
  <c r="J1040" i="3"/>
  <c r="I1040" i="3"/>
  <c r="T1040" i="3" s="1"/>
  <c r="J1039" i="3"/>
  <c r="I1039" i="3"/>
  <c r="AJ1034" i="3"/>
  <c r="AE1034" i="3"/>
  <c r="X1034" i="3"/>
  <c r="W1034" i="3"/>
  <c r="AD1034" i="3" s="1"/>
  <c r="V1034" i="3"/>
  <c r="AF1034" i="3" s="1"/>
  <c r="AH1034" i="3" s="1"/>
  <c r="R1034" i="3"/>
  <c r="N1034" i="3"/>
  <c r="M1034" i="3"/>
  <c r="J1034" i="3"/>
  <c r="S1034" i="3" s="1"/>
  <c r="H1034" i="3"/>
  <c r="AJ1033" i="3"/>
  <c r="AE1033" i="3"/>
  <c r="V1033" i="3"/>
  <c r="R1033" i="3"/>
  <c r="N1033" i="3"/>
  <c r="M1033" i="3"/>
  <c r="H1033" i="3"/>
  <c r="AJ1032" i="3"/>
  <c r="AF1032" i="3"/>
  <c r="AH1032" i="3" s="1"/>
  <c r="AD1032" i="3"/>
  <c r="X1032" i="3"/>
  <c r="V1032" i="3"/>
  <c r="W1032" i="3" s="1"/>
  <c r="R1032" i="3"/>
  <c r="N1032" i="3"/>
  <c r="M1032" i="3"/>
  <c r="I1032" i="3"/>
  <c r="T1032" i="3" s="1"/>
  <c r="H1032" i="3"/>
  <c r="AJ1031" i="3"/>
  <c r="AF1031" i="3"/>
  <c r="AH1031" i="3" s="1"/>
  <c r="AE1031" i="3"/>
  <c r="X1031" i="3"/>
  <c r="W1031" i="3"/>
  <c r="V1031" i="3"/>
  <c r="R1031" i="3"/>
  <c r="N1031" i="3"/>
  <c r="M1031" i="3"/>
  <c r="H1031" i="3"/>
  <c r="AJ1030" i="3"/>
  <c r="AF1030" i="3"/>
  <c r="AH1030" i="3" s="1"/>
  <c r="W1030" i="3"/>
  <c r="X1030" i="3" s="1"/>
  <c r="V1030" i="3"/>
  <c r="R1030" i="3"/>
  <c r="N1030" i="3"/>
  <c r="M1030" i="3"/>
  <c r="H1030" i="3"/>
  <c r="AJ1029" i="3"/>
  <c r="AE1029" i="3"/>
  <c r="Z1029" i="3"/>
  <c r="W1029" i="3"/>
  <c r="X1029" i="3" s="1"/>
  <c r="AA1029" i="3" s="1"/>
  <c r="V1029" i="3"/>
  <c r="AF1029" i="3" s="1"/>
  <c r="AH1029" i="3" s="1"/>
  <c r="R1029" i="3"/>
  <c r="N1029" i="3"/>
  <c r="M1029" i="3"/>
  <c r="H1029" i="3"/>
  <c r="J1028" i="3"/>
  <c r="I1028" i="3"/>
  <c r="AJ1025" i="3"/>
  <c r="AF1025" i="3"/>
  <c r="AH1025" i="3" s="1"/>
  <c r="W1025" i="3"/>
  <c r="X1025" i="3" s="1"/>
  <c r="V1025" i="3"/>
  <c r="R1025" i="3"/>
  <c r="N1025" i="3"/>
  <c r="M1025" i="3"/>
  <c r="H1025" i="3"/>
  <c r="I1025" i="3" s="1"/>
  <c r="T1025" i="3" s="1"/>
  <c r="AJ1024" i="3"/>
  <c r="V1024" i="3"/>
  <c r="R1024" i="3"/>
  <c r="N1024" i="3"/>
  <c r="M1024" i="3"/>
  <c r="H1024" i="3"/>
  <c r="AJ1023" i="3"/>
  <c r="AH1023" i="3"/>
  <c r="AE1023" i="3"/>
  <c r="W1023" i="3"/>
  <c r="V1023" i="3"/>
  <c r="AF1023" i="3" s="1"/>
  <c r="R1023" i="3"/>
  <c r="N1023" i="3"/>
  <c r="M1023" i="3"/>
  <c r="J1023" i="3"/>
  <c r="H1023" i="3"/>
  <c r="AJ1022" i="3"/>
  <c r="V1022" i="3"/>
  <c r="R1022" i="3"/>
  <c r="N1022" i="3"/>
  <c r="M1022" i="3"/>
  <c r="H1022" i="3"/>
  <c r="I1022" i="3" s="1"/>
  <c r="T1022" i="3" s="1"/>
  <c r="AJ1021" i="3"/>
  <c r="AF1021" i="3"/>
  <c r="AH1021" i="3" s="1"/>
  <c r="X1021" i="3"/>
  <c r="V1021" i="3"/>
  <c r="W1021" i="3" s="1"/>
  <c r="R1021" i="3"/>
  <c r="N1021" i="3"/>
  <c r="AE1021" i="3" s="1"/>
  <c r="M1021" i="3"/>
  <c r="H1021" i="3"/>
  <c r="AJ1020" i="3"/>
  <c r="AH1020" i="3"/>
  <c r="AF1020" i="3"/>
  <c r="W1020" i="3"/>
  <c r="X1020" i="3" s="1"/>
  <c r="Z1020" i="3" s="1"/>
  <c r="V1020" i="3"/>
  <c r="R1020" i="3"/>
  <c r="N1020" i="3"/>
  <c r="M1020" i="3"/>
  <c r="H1020" i="3"/>
  <c r="J1019" i="3"/>
  <c r="I1019" i="3"/>
  <c r="V1016" i="3"/>
  <c r="R1016" i="3"/>
  <c r="N1016" i="3"/>
  <c r="M1016" i="3"/>
  <c r="AE1015" i="3"/>
  <c r="AD1015" i="3"/>
  <c r="AA1015" i="3"/>
  <c r="V1015" i="3"/>
  <c r="W1015" i="3" s="1"/>
  <c r="X1015" i="3" s="1"/>
  <c r="Z1015" i="3" s="1"/>
  <c r="R1015" i="3"/>
  <c r="P1015" i="3"/>
  <c r="N1015" i="3"/>
  <c r="M1015" i="3"/>
  <c r="I1015" i="3"/>
  <c r="T1015" i="3" s="1"/>
  <c r="V1014" i="3"/>
  <c r="R1014" i="3"/>
  <c r="N1014" i="3"/>
  <c r="M1014" i="3"/>
  <c r="AF1013" i="3"/>
  <c r="AH1013" i="3" s="1"/>
  <c r="AE1013" i="3"/>
  <c r="AD1013" i="3"/>
  <c r="X1013" i="3"/>
  <c r="AA1013" i="3" s="1"/>
  <c r="V1013" i="3"/>
  <c r="W1013" i="3" s="1"/>
  <c r="R1013" i="3"/>
  <c r="N1013" i="3"/>
  <c r="M1013" i="3"/>
  <c r="V1012" i="3"/>
  <c r="R1012" i="3"/>
  <c r="N1012" i="3"/>
  <c r="M1012" i="3"/>
  <c r="AF1011" i="3"/>
  <c r="AH1011" i="3" s="1"/>
  <c r="AE1011" i="3"/>
  <c r="V1011" i="3"/>
  <c r="W1011" i="3" s="1"/>
  <c r="R1011" i="3"/>
  <c r="N1011" i="3"/>
  <c r="M1011" i="3"/>
  <c r="V1010" i="3"/>
  <c r="R1010" i="3"/>
  <c r="N1010" i="3"/>
  <c r="M1010" i="3"/>
  <c r="AF1009" i="3"/>
  <c r="AH1009" i="3" s="1"/>
  <c r="AE1009" i="3"/>
  <c r="W1009" i="3"/>
  <c r="X1009" i="3" s="1"/>
  <c r="V1009" i="3"/>
  <c r="R1009" i="3"/>
  <c r="N1009" i="3"/>
  <c r="AD1009" i="3" s="1"/>
  <c r="M1009" i="3"/>
  <c r="V1008" i="3"/>
  <c r="R1008" i="3"/>
  <c r="N1008" i="3"/>
  <c r="M1008" i="3"/>
  <c r="AH1007" i="3"/>
  <c r="AF1007" i="3"/>
  <c r="AE1007" i="3"/>
  <c r="X1007" i="3"/>
  <c r="W1007" i="3"/>
  <c r="V1007" i="3"/>
  <c r="R1007" i="3"/>
  <c r="P1007" i="3"/>
  <c r="N1007" i="3"/>
  <c r="M1007" i="3"/>
  <c r="I1007" i="3"/>
  <c r="T1007" i="3" s="1"/>
  <c r="W1006" i="3"/>
  <c r="X1006" i="3" s="1"/>
  <c r="AA1006" i="3" s="1"/>
  <c r="V1006" i="3"/>
  <c r="AF1006" i="3" s="1"/>
  <c r="AG1006" i="3" s="1"/>
  <c r="R1006" i="3"/>
  <c r="N1006" i="3"/>
  <c r="M1006" i="3"/>
  <c r="I1006" i="3"/>
  <c r="T1006" i="3" s="1"/>
  <c r="AJ1005" i="3"/>
  <c r="AH1005" i="3"/>
  <c r="AE1005" i="3"/>
  <c r="AD1005" i="3"/>
  <c r="W1005" i="3"/>
  <c r="X1005" i="3" s="1"/>
  <c r="V1005" i="3"/>
  <c r="AF1005" i="3" s="1"/>
  <c r="R1005" i="3"/>
  <c r="O1005" i="3"/>
  <c r="N1005" i="3"/>
  <c r="M1005" i="3"/>
  <c r="J1005" i="3"/>
  <c r="S1005" i="3" s="1"/>
  <c r="I1005" i="3"/>
  <c r="T1005" i="3" s="1"/>
  <c r="H1005" i="3"/>
  <c r="AJ1004" i="3"/>
  <c r="AF1004" i="3"/>
  <c r="AH1004" i="3" s="1"/>
  <c r="X1004" i="3"/>
  <c r="V1004" i="3"/>
  <c r="W1004" i="3" s="1"/>
  <c r="R1004" i="3"/>
  <c r="N1004" i="3"/>
  <c r="AE1004" i="3" s="1"/>
  <c r="M1004" i="3"/>
  <c r="J1004" i="3"/>
  <c r="H1004" i="3"/>
  <c r="AJ1003" i="3"/>
  <c r="AH1003" i="3"/>
  <c r="AF1003" i="3"/>
  <c r="AA1003" i="3"/>
  <c r="W1003" i="3"/>
  <c r="X1003" i="3" s="1"/>
  <c r="Z1003" i="3" s="1"/>
  <c r="V1003" i="3"/>
  <c r="R1003" i="3"/>
  <c r="N1003" i="3"/>
  <c r="M1003" i="3"/>
  <c r="H1003" i="3"/>
  <c r="I1003" i="3" s="1"/>
  <c r="T1003" i="3" s="1"/>
  <c r="AJ1002" i="3"/>
  <c r="AF1002" i="3"/>
  <c r="AH1002" i="3" s="1"/>
  <c r="V1002" i="3"/>
  <c r="W1002" i="3" s="1"/>
  <c r="X1002" i="3" s="1"/>
  <c r="R1002" i="3"/>
  <c r="N1002" i="3"/>
  <c r="M1002" i="3"/>
  <c r="J1002" i="3"/>
  <c r="S1002" i="3" s="1"/>
  <c r="H1002" i="3"/>
  <c r="V1001" i="3"/>
  <c r="R1001" i="3"/>
  <c r="N1001" i="3"/>
  <c r="M1001" i="3"/>
  <c r="I1001" i="3"/>
  <c r="T1001" i="3" s="1"/>
  <c r="AG1000" i="3"/>
  <c r="AF1000" i="3"/>
  <c r="AH1000" i="3" s="1"/>
  <c r="AE1000" i="3"/>
  <c r="W1000" i="3"/>
  <c r="X1000" i="3" s="1"/>
  <c r="V1000" i="3"/>
  <c r="R1000" i="3"/>
  <c r="P1000" i="3"/>
  <c r="N1000" i="3"/>
  <c r="M1000" i="3"/>
  <c r="I1000" i="3"/>
  <c r="T1000" i="3" s="1"/>
  <c r="AH999" i="3"/>
  <c r="V999" i="3"/>
  <c r="AF999" i="3" s="1"/>
  <c r="R999" i="3"/>
  <c r="N999" i="3"/>
  <c r="AE999" i="3" s="1"/>
  <c r="M999" i="3"/>
  <c r="J998" i="3"/>
  <c r="I998" i="3"/>
  <c r="AF995" i="3"/>
  <c r="AE995" i="3"/>
  <c r="X995" i="3"/>
  <c r="W995" i="3"/>
  <c r="V995" i="3"/>
  <c r="R995" i="3"/>
  <c r="N995" i="3"/>
  <c r="AD995" i="3" s="1"/>
  <c r="M995" i="3"/>
  <c r="AE994" i="3"/>
  <c r="AD994" i="3"/>
  <c r="W994" i="3"/>
  <c r="X994" i="3" s="1"/>
  <c r="V994" i="3"/>
  <c r="AF994" i="3" s="1"/>
  <c r="AH994" i="3" s="1"/>
  <c r="R994" i="3"/>
  <c r="N994" i="3"/>
  <c r="M994" i="3"/>
  <c r="AF993" i="3"/>
  <c r="AH993" i="3" s="1"/>
  <c r="AE993" i="3"/>
  <c r="W993" i="3"/>
  <c r="X993" i="3" s="1"/>
  <c r="V993" i="3"/>
  <c r="R993" i="3"/>
  <c r="N993" i="3"/>
  <c r="AD993" i="3" s="1"/>
  <c r="M993" i="3"/>
  <c r="I993" i="3"/>
  <c r="V992" i="3"/>
  <c r="R992" i="3"/>
  <c r="N992" i="3"/>
  <c r="M992" i="3"/>
  <c r="AF991" i="3"/>
  <c r="AH991" i="3" s="1"/>
  <c r="AE991" i="3"/>
  <c r="AA991" i="3"/>
  <c r="X991" i="3"/>
  <c r="Z991" i="3" s="1"/>
  <c r="W991" i="3"/>
  <c r="V991" i="3"/>
  <c r="R991" i="3"/>
  <c r="N991" i="3"/>
  <c r="AD991" i="3" s="1"/>
  <c r="M991" i="3"/>
  <c r="AE990" i="3"/>
  <c r="AD990" i="3"/>
  <c r="W990" i="3"/>
  <c r="X990" i="3" s="1"/>
  <c r="V990" i="3"/>
  <c r="AF990" i="3" s="1"/>
  <c r="AH990" i="3" s="1"/>
  <c r="R990" i="3"/>
  <c r="N990" i="3"/>
  <c r="M990" i="3"/>
  <c r="AF989" i="3"/>
  <c r="AH989" i="3" s="1"/>
  <c r="AE989" i="3"/>
  <c r="X989" i="3"/>
  <c r="Z989" i="3" s="1"/>
  <c r="W989" i="3"/>
  <c r="V989" i="3"/>
  <c r="R989" i="3"/>
  <c r="P989" i="3"/>
  <c r="N989" i="3"/>
  <c r="AD989" i="3" s="1"/>
  <c r="M989" i="3"/>
  <c r="I989" i="3"/>
  <c r="T989" i="3" s="1"/>
  <c r="AH988" i="3"/>
  <c r="V988" i="3"/>
  <c r="AF988" i="3" s="1"/>
  <c r="R988" i="3"/>
  <c r="N988" i="3"/>
  <c r="M988" i="3"/>
  <c r="AF987" i="3"/>
  <c r="AH987" i="3" s="1"/>
  <c r="AE987" i="3"/>
  <c r="AA987" i="3"/>
  <c r="X987" i="3"/>
  <c r="Z987" i="3" s="1"/>
  <c r="W987" i="3"/>
  <c r="V987" i="3"/>
  <c r="R987" i="3"/>
  <c r="N987" i="3"/>
  <c r="AD987" i="3" s="1"/>
  <c r="M987" i="3"/>
  <c r="I987" i="3"/>
  <c r="P987" i="3" s="1"/>
  <c r="AJ986" i="3"/>
  <c r="AE986" i="3"/>
  <c r="V986" i="3"/>
  <c r="R986" i="3"/>
  <c r="N986" i="3"/>
  <c r="M986" i="3"/>
  <c r="H986" i="3"/>
  <c r="AJ985" i="3"/>
  <c r="AH985" i="3"/>
  <c r="AE985" i="3"/>
  <c r="V985" i="3"/>
  <c r="AF985" i="3" s="1"/>
  <c r="R985" i="3"/>
  <c r="N985" i="3"/>
  <c r="M985" i="3"/>
  <c r="H985" i="3"/>
  <c r="AJ984" i="3"/>
  <c r="V984" i="3"/>
  <c r="T984" i="3"/>
  <c r="R984" i="3"/>
  <c r="N984" i="3"/>
  <c r="M984" i="3"/>
  <c r="J984" i="3"/>
  <c r="S984" i="3" s="1"/>
  <c r="I984" i="3"/>
  <c r="P984" i="3" s="1"/>
  <c r="H984" i="3"/>
  <c r="AJ983" i="3"/>
  <c r="AH983" i="3"/>
  <c r="AF983" i="3"/>
  <c r="AA983" i="3"/>
  <c r="W983" i="3"/>
  <c r="X983" i="3" s="1"/>
  <c r="Z983" i="3" s="1"/>
  <c r="V983" i="3"/>
  <c r="R983" i="3"/>
  <c r="N983" i="3"/>
  <c r="M983" i="3"/>
  <c r="I983" i="3"/>
  <c r="H983" i="3"/>
  <c r="AJ982" i="3"/>
  <c r="AE982" i="3"/>
  <c r="AD982" i="3"/>
  <c r="X982" i="3"/>
  <c r="W982" i="3"/>
  <c r="V982" i="3"/>
  <c r="AF982" i="3" s="1"/>
  <c r="AH982" i="3" s="1"/>
  <c r="R982" i="3"/>
  <c r="N982" i="3"/>
  <c r="M982" i="3"/>
  <c r="J982" i="3"/>
  <c r="S982" i="3" s="1"/>
  <c r="H982" i="3"/>
  <c r="I982" i="3" s="1"/>
  <c r="T982" i="3" s="1"/>
  <c r="AJ981" i="3"/>
  <c r="V981" i="3"/>
  <c r="R981" i="3"/>
  <c r="N981" i="3"/>
  <c r="M981" i="3"/>
  <c r="H981" i="3"/>
  <c r="AF980" i="3"/>
  <c r="AH980" i="3" s="1"/>
  <c r="Z980" i="3"/>
  <c r="W980" i="3"/>
  <c r="X980" i="3" s="1"/>
  <c r="AA980" i="3" s="1"/>
  <c r="V980" i="3"/>
  <c r="R980" i="3"/>
  <c r="N980" i="3"/>
  <c r="M980" i="3"/>
  <c r="AF979" i="3"/>
  <c r="AH979" i="3" s="1"/>
  <c r="X979" i="3"/>
  <c r="V979" i="3"/>
  <c r="W979" i="3" s="1"/>
  <c r="R979" i="3"/>
  <c r="N979" i="3"/>
  <c r="M979" i="3"/>
  <c r="J978" i="3"/>
  <c r="I978" i="3"/>
  <c r="AJ973" i="3"/>
  <c r="V973" i="3"/>
  <c r="R973" i="3"/>
  <c r="N973" i="3"/>
  <c r="M973" i="3"/>
  <c r="H973" i="3"/>
  <c r="AJ972" i="3"/>
  <c r="AH972" i="3"/>
  <c r="AE972" i="3"/>
  <c r="Z972" i="3"/>
  <c r="X972" i="3"/>
  <c r="AA972" i="3" s="1"/>
  <c r="W972" i="3"/>
  <c r="AD972" i="3" s="1"/>
  <c r="V972" i="3"/>
  <c r="AF972" i="3" s="1"/>
  <c r="AG972" i="3" s="1"/>
  <c r="R972" i="3"/>
  <c r="N972" i="3"/>
  <c r="M972" i="3"/>
  <c r="J972" i="3"/>
  <c r="S972" i="3" s="1"/>
  <c r="H972" i="3"/>
  <c r="AJ971" i="3"/>
  <c r="AE971" i="3"/>
  <c r="V971" i="3"/>
  <c r="R971" i="3"/>
  <c r="N971" i="3"/>
  <c r="M971" i="3"/>
  <c r="I971" i="3"/>
  <c r="H971" i="3"/>
  <c r="AJ970" i="3"/>
  <c r="AF970" i="3"/>
  <c r="AH970" i="3" s="1"/>
  <c r="AD970" i="3"/>
  <c r="X970" i="3"/>
  <c r="V970" i="3"/>
  <c r="W970" i="3" s="1"/>
  <c r="R970" i="3"/>
  <c r="N970" i="3"/>
  <c r="M970" i="3"/>
  <c r="I970" i="3"/>
  <c r="T970" i="3" s="1"/>
  <c r="H970" i="3"/>
  <c r="AJ969" i="3"/>
  <c r="AF969" i="3"/>
  <c r="AH969" i="3" s="1"/>
  <c r="AE969" i="3"/>
  <c r="X969" i="3"/>
  <c r="W969" i="3"/>
  <c r="V969" i="3"/>
  <c r="R969" i="3"/>
  <c r="N969" i="3"/>
  <c r="M969" i="3"/>
  <c r="H969" i="3"/>
  <c r="I969" i="3" s="1"/>
  <c r="T969" i="3" s="1"/>
  <c r="AJ968" i="3"/>
  <c r="W968" i="3"/>
  <c r="X968" i="3" s="1"/>
  <c r="V968" i="3"/>
  <c r="AF968" i="3" s="1"/>
  <c r="AH968" i="3" s="1"/>
  <c r="R968" i="3"/>
  <c r="N968" i="3"/>
  <c r="M968" i="3"/>
  <c r="H968" i="3"/>
  <c r="J967" i="3"/>
  <c r="I967" i="3"/>
  <c r="AJ963" i="3"/>
  <c r="X963" i="3"/>
  <c r="V963" i="3"/>
  <c r="W963" i="3" s="1"/>
  <c r="R963" i="3"/>
  <c r="O963" i="3"/>
  <c r="N963" i="3"/>
  <c r="AE963" i="3" s="1"/>
  <c r="M963" i="3"/>
  <c r="J963" i="3"/>
  <c r="S963" i="3" s="1"/>
  <c r="I963" i="3"/>
  <c r="H963" i="3"/>
  <c r="AJ962" i="3"/>
  <c r="V962" i="3"/>
  <c r="R962" i="3"/>
  <c r="N962" i="3"/>
  <c r="M962" i="3"/>
  <c r="J962" i="3"/>
  <c r="S962" i="3" s="1"/>
  <c r="H962" i="3"/>
  <c r="AJ961" i="3"/>
  <c r="AH961" i="3"/>
  <c r="AF961" i="3"/>
  <c r="W961" i="3"/>
  <c r="X961" i="3" s="1"/>
  <c r="V961" i="3"/>
  <c r="R961" i="3"/>
  <c r="N961" i="3"/>
  <c r="M961" i="3"/>
  <c r="H961" i="3"/>
  <c r="AJ960" i="3"/>
  <c r="AF960" i="3"/>
  <c r="AH960" i="3" s="1"/>
  <c r="AA960" i="3"/>
  <c r="V960" i="3"/>
  <c r="W960" i="3" s="1"/>
  <c r="X960" i="3" s="1"/>
  <c r="Z960" i="3" s="1"/>
  <c r="R960" i="3"/>
  <c r="N960" i="3"/>
  <c r="M960" i="3"/>
  <c r="H960" i="3"/>
  <c r="I960" i="3" s="1"/>
  <c r="T960" i="3" s="1"/>
  <c r="AJ959" i="3"/>
  <c r="AH959" i="3"/>
  <c r="AE959" i="3"/>
  <c r="AD959" i="3"/>
  <c r="W959" i="3"/>
  <c r="X959" i="3" s="1"/>
  <c r="V959" i="3"/>
  <c r="AF959" i="3" s="1"/>
  <c r="R959" i="3"/>
  <c r="P959" i="3"/>
  <c r="N959" i="3"/>
  <c r="M959" i="3"/>
  <c r="J959" i="3"/>
  <c r="I959" i="3"/>
  <c r="T959" i="3" s="1"/>
  <c r="H959" i="3"/>
  <c r="J958" i="3"/>
  <c r="I958" i="3"/>
  <c r="AJ954" i="3"/>
  <c r="AD954" i="3"/>
  <c r="V954" i="3"/>
  <c r="W954" i="3" s="1"/>
  <c r="X954" i="3" s="1"/>
  <c r="R954" i="3"/>
  <c r="N954" i="3"/>
  <c r="M954" i="3"/>
  <c r="J954" i="3"/>
  <c r="S954" i="3" s="1"/>
  <c r="H954" i="3"/>
  <c r="I954" i="3" s="1"/>
  <c r="T954" i="3" s="1"/>
  <c r="AJ953" i="3"/>
  <c r="AH953" i="3"/>
  <c r="AF953" i="3"/>
  <c r="AA953" i="3"/>
  <c r="W953" i="3"/>
  <c r="X953" i="3" s="1"/>
  <c r="Z953" i="3" s="1"/>
  <c r="V953" i="3"/>
  <c r="R953" i="3"/>
  <c r="N953" i="3"/>
  <c r="M953" i="3"/>
  <c r="H953" i="3"/>
  <c r="I953" i="3" s="1"/>
  <c r="T953" i="3" s="1"/>
  <c r="AJ952" i="3"/>
  <c r="AE952" i="3"/>
  <c r="X952" i="3"/>
  <c r="AA952" i="3" s="1"/>
  <c r="W952" i="3"/>
  <c r="AD952" i="3" s="1"/>
  <c r="V952" i="3"/>
  <c r="AF952" i="3" s="1"/>
  <c r="AH952" i="3" s="1"/>
  <c r="R952" i="3"/>
  <c r="N952" i="3"/>
  <c r="M952" i="3"/>
  <c r="J952" i="3"/>
  <c r="S952" i="3" s="1"/>
  <c r="H952" i="3"/>
  <c r="AJ951" i="3"/>
  <c r="AE951" i="3"/>
  <c r="V951" i="3"/>
  <c r="R951" i="3"/>
  <c r="N951" i="3"/>
  <c r="M951" i="3"/>
  <c r="I951" i="3"/>
  <c r="H951" i="3"/>
  <c r="AJ950" i="3"/>
  <c r="AF950" i="3"/>
  <c r="AH950" i="3" s="1"/>
  <c r="AD950" i="3"/>
  <c r="X950" i="3"/>
  <c r="V950" i="3"/>
  <c r="W950" i="3" s="1"/>
  <c r="R950" i="3"/>
  <c r="N950" i="3"/>
  <c r="M950" i="3"/>
  <c r="H950" i="3"/>
  <c r="I950" i="3" s="1"/>
  <c r="T950" i="3" s="1"/>
  <c r="AJ949" i="3"/>
  <c r="AF949" i="3"/>
  <c r="AH949" i="3" s="1"/>
  <c r="AE949" i="3"/>
  <c r="X949" i="3"/>
  <c r="W949" i="3"/>
  <c r="V949" i="3"/>
  <c r="R949" i="3"/>
  <c r="N949" i="3"/>
  <c r="M949" i="3"/>
  <c r="H949" i="3"/>
  <c r="I949" i="3" s="1"/>
  <c r="T949" i="3" s="1"/>
  <c r="J948" i="3"/>
  <c r="I948" i="3"/>
  <c r="AJ943" i="3"/>
  <c r="V943" i="3"/>
  <c r="AF943" i="3" s="1"/>
  <c r="AH943" i="3" s="1"/>
  <c r="R943" i="3"/>
  <c r="N943" i="3"/>
  <c r="M943" i="3"/>
  <c r="H943" i="3"/>
  <c r="AJ942" i="3"/>
  <c r="AE942" i="3"/>
  <c r="Z942" i="3"/>
  <c r="W942" i="3"/>
  <c r="X942" i="3" s="1"/>
  <c r="AA942" i="3" s="1"/>
  <c r="V942" i="3"/>
  <c r="AF942" i="3" s="1"/>
  <c r="AH942" i="3" s="1"/>
  <c r="R942" i="3"/>
  <c r="N942" i="3"/>
  <c r="M942" i="3"/>
  <c r="J942" i="3"/>
  <c r="H942" i="3"/>
  <c r="AJ941" i="3"/>
  <c r="V941" i="3"/>
  <c r="R941" i="3"/>
  <c r="N941" i="3"/>
  <c r="M941" i="3"/>
  <c r="J941" i="3"/>
  <c r="S941" i="3" s="1"/>
  <c r="H941" i="3"/>
  <c r="I941" i="3" s="1"/>
  <c r="T941" i="3" s="1"/>
  <c r="AJ940" i="3"/>
  <c r="AH940" i="3"/>
  <c r="AF940" i="3"/>
  <c r="AE940" i="3"/>
  <c r="X940" i="3"/>
  <c r="W940" i="3"/>
  <c r="V940" i="3"/>
  <c r="T940" i="3"/>
  <c r="R940" i="3"/>
  <c r="N940" i="3"/>
  <c r="M940" i="3"/>
  <c r="I940" i="3"/>
  <c r="H940" i="3"/>
  <c r="AJ939" i="3"/>
  <c r="AG939" i="3"/>
  <c r="AF939" i="3"/>
  <c r="AH939" i="3" s="1"/>
  <c r="X939" i="3"/>
  <c r="Z939" i="3" s="1"/>
  <c r="W939" i="3"/>
  <c r="V939" i="3"/>
  <c r="R939" i="3"/>
  <c r="N939" i="3"/>
  <c r="M939" i="3"/>
  <c r="I939" i="3"/>
  <c r="H939" i="3"/>
  <c r="AJ938" i="3"/>
  <c r="AF938" i="3"/>
  <c r="AH938" i="3" s="1"/>
  <c r="X938" i="3"/>
  <c r="V938" i="3"/>
  <c r="W938" i="3" s="1"/>
  <c r="R938" i="3"/>
  <c r="N938" i="3"/>
  <c r="M938" i="3"/>
  <c r="H938" i="3"/>
  <c r="J937" i="3"/>
  <c r="I937" i="3"/>
  <c r="AJ933" i="3"/>
  <c r="AH933" i="3"/>
  <c r="AE933" i="3"/>
  <c r="V933" i="3"/>
  <c r="AF933" i="3" s="1"/>
  <c r="R933" i="3"/>
  <c r="N933" i="3"/>
  <c r="M933" i="3"/>
  <c r="H933" i="3"/>
  <c r="AJ932" i="3"/>
  <c r="V932" i="3"/>
  <c r="T932" i="3"/>
  <c r="R932" i="3"/>
  <c r="O932" i="3"/>
  <c r="N932" i="3"/>
  <c r="M932" i="3"/>
  <c r="J932" i="3"/>
  <c r="S932" i="3" s="1"/>
  <c r="I932" i="3"/>
  <c r="P932" i="3" s="1"/>
  <c r="H932" i="3"/>
  <c r="J931" i="3"/>
  <c r="I931" i="3"/>
  <c r="AJ927" i="3"/>
  <c r="AE927" i="3"/>
  <c r="U927" i="3"/>
  <c r="V927" i="3" s="1"/>
  <c r="R927" i="3"/>
  <c r="N927" i="3"/>
  <c r="M927" i="3"/>
  <c r="J927" i="3"/>
  <c r="S927" i="3" s="1"/>
  <c r="H927" i="3"/>
  <c r="I927" i="3" s="1"/>
  <c r="T927" i="3" s="1"/>
  <c r="AJ926" i="3"/>
  <c r="AE926" i="3"/>
  <c r="U926" i="3"/>
  <c r="V926" i="3" s="1"/>
  <c r="R926" i="3"/>
  <c r="N926" i="3"/>
  <c r="M926" i="3"/>
  <c r="I926" i="3"/>
  <c r="P926" i="3" s="1"/>
  <c r="H926" i="3"/>
  <c r="AJ925" i="3"/>
  <c r="AF925" i="3"/>
  <c r="AH925" i="3" s="1"/>
  <c r="W925" i="3"/>
  <c r="X925" i="3" s="1"/>
  <c r="V925" i="3"/>
  <c r="R925" i="3"/>
  <c r="N925" i="3"/>
  <c r="M925" i="3"/>
  <c r="H925" i="3"/>
  <c r="I925" i="3" s="1"/>
  <c r="T925" i="3" s="1"/>
  <c r="AJ924" i="3"/>
  <c r="V924" i="3"/>
  <c r="R924" i="3"/>
  <c r="N924" i="3"/>
  <c r="M924" i="3"/>
  <c r="H924" i="3"/>
  <c r="AJ923" i="3"/>
  <c r="AH923" i="3"/>
  <c r="AE923" i="3"/>
  <c r="V923" i="3"/>
  <c r="AF923" i="3" s="1"/>
  <c r="R923" i="3"/>
  <c r="N923" i="3"/>
  <c r="M923" i="3"/>
  <c r="H923" i="3"/>
  <c r="AJ922" i="3"/>
  <c r="V922" i="3"/>
  <c r="T922" i="3"/>
  <c r="R922" i="3"/>
  <c r="O922" i="3"/>
  <c r="N922" i="3"/>
  <c r="M922" i="3"/>
  <c r="J922" i="3"/>
  <c r="S922" i="3" s="1"/>
  <c r="I922" i="3"/>
  <c r="P922" i="3" s="1"/>
  <c r="H922" i="3"/>
  <c r="J921" i="3"/>
  <c r="I921" i="3"/>
  <c r="AJ918" i="3"/>
  <c r="AF918" i="3"/>
  <c r="AH918" i="3" s="1"/>
  <c r="AE918" i="3"/>
  <c r="X918" i="3"/>
  <c r="W918" i="3"/>
  <c r="V918" i="3"/>
  <c r="R918" i="3"/>
  <c r="N918" i="3"/>
  <c r="M918" i="3"/>
  <c r="H918" i="3"/>
  <c r="I918" i="3" s="1"/>
  <c r="T918" i="3" s="1"/>
  <c r="AJ917" i="3"/>
  <c r="V917" i="3"/>
  <c r="R917" i="3"/>
  <c r="N917" i="3"/>
  <c r="M917" i="3"/>
  <c r="H917" i="3"/>
  <c r="AJ916" i="3"/>
  <c r="AJ919" i="3" s="1"/>
  <c r="AI918" i="3" s="1"/>
  <c r="AE916" i="3"/>
  <c r="Z916" i="3"/>
  <c r="W916" i="3"/>
  <c r="X916" i="3" s="1"/>
  <c r="AA916" i="3" s="1"/>
  <c r="V916" i="3"/>
  <c r="AF916" i="3" s="1"/>
  <c r="AH916" i="3" s="1"/>
  <c r="R916" i="3"/>
  <c r="N916" i="3"/>
  <c r="M916" i="3"/>
  <c r="J916" i="3"/>
  <c r="H916" i="3"/>
  <c r="J915" i="3"/>
  <c r="I915" i="3"/>
  <c r="AJ911" i="3"/>
  <c r="AF911" i="3"/>
  <c r="AH911" i="3" s="1"/>
  <c r="AE911" i="3"/>
  <c r="W911" i="3"/>
  <c r="X911" i="3" s="1"/>
  <c r="AA911" i="3" s="1"/>
  <c r="V911" i="3"/>
  <c r="U911" i="3"/>
  <c r="R911" i="3"/>
  <c r="H911" i="3"/>
  <c r="AJ910" i="3"/>
  <c r="AF910" i="3"/>
  <c r="AH910" i="3" s="1"/>
  <c r="AE910" i="3"/>
  <c r="X910" i="3"/>
  <c r="V910" i="3"/>
  <c r="W910" i="3" s="1"/>
  <c r="R910" i="3"/>
  <c r="H910" i="3"/>
  <c r="I910" i="3" s="1"/>
  <c r="T910" i="3" s="1"/>
  <c r="AJ909" i="3"/>
  <c r="AF909" i="3"/>
  <c r="AH909" i="3" s="1"/>
  <c r="AA909" i="3"/>
  <c r="U909" i="3"/>
  <c r="V909" i="3" s="1"/>
  <c r="W909" i="3" s="1"/>
  <c r="X909" i="3" s="1"/>
  <c r="Z909" i="3" s="1"/>
  <c r="R909" i="3"/>
  <c r="N909" i="3"/>
  <c r="M909" i="3"/>
  <c r="H909" i="3"/>
  <c r="I909" i="3" s="1"/>
  <c r="T909" i="3" s="1"/>
  <c r="AJ908" i="3"/>
  <c r="AF908" i="3"/>
  <c r="AH908" i="3" s="1"/>
  <c r="AE908" i="3"/>
  <c r="W908" i="3"/>
  <c r="X908" i="3" s="1"/>
  <c r="V908" i="3"/>
  <c r="R908" i="3"/>
  <c r="N908" i="3"/>
  <c r="M908" i="3"/>
  <c r="H908" i="3"/>
  <c r="I908" i="3" s="1"/>
  <c r="T908" i="3" s="1"/>
  <c r="AJ907" i="3"/>
  <c r="AF907" i="3"/>
  <c r="AE907" i="3"/>
  <c r="X907" i="3"/>
  <c r="W907" i="3"/>
  <c r="V907" i="3"/>
  <c r="R907" i="3"/>
  <c r="N907" i="3"/>
  <c r="M907" i="3"/>
  <c r="H907" i="3"/>
  <c r="I907" i="3" s="1"/>
  <c r="T907" i="3" s="1"/>
  <c r="AJ906" i="3"/>
  <c r="V906" i="3"/>
  <c r="AF906" i="3" s="1"/>
  <c r="AH906" i="3" s="1"/>
  <c r="R906" i="3"/>
  <c r="N906" i="3"/>
  <c r="M906" i="3"/>
  <c r="H906" i="3"/>
  <c r="J905" i="3"/>
  <c r="I905" i="3"/>
  <c r="AJ903" i="3"/>
  <c r="AE903" i="3"/>
  <c r="Z903" i="3"/>
  <c r="W903" i="3"/>
  <c r="X903" i="3" s="1"/>
  <c r="AA903" i="3" s="1"/>
  <c r="V903" i="3"/>
  <c r="AF903" i="3" s="1"/>
  <c r="AH903" i="3" s="1"/>
  <c r="R903" i="3"/>
  <c r="N903" i="3"/>
  <c r="M903" i="3"/>
  <c r="J903" i="3"/>
  <c r="H903" i="3"/>
  <c r="AJ902" i="3"/>
  <c r="V902" i="3"/>
  <c r="R902" i="3"/>
  <c r="N902" i="3"/>
  <c r="M902" i="3"/>
  <c r="J902" i="3"/>
  <c r="S902" i="3" s="1"/>
  <c r="H902" i="3"/>
  <c r="I902" i="3" s="1"/>
  <c r="T902" i="3" s="1"/>
  <c r="AJ901" i="3"/>
  <c r="AH901" i="3"/>
  <c r="AF901" i="3"/>
  <c r="AE901" i="3"/>
  <c r="X901" i="3"/>
  <c r="W901" i="3"/>
  <c r="V901" i="3"/>
  <c r="R901" i="3"/>
  <c r="N901" i="3"/>
  <c r="M901" i="3"/>
  <c r="I901" i="3"/>
  <c r="T901" i="3" s="1"/>
  <c r="H901" i="3"/>
  <c r="J900" i="3"/>
  <c r="I900" i="3"/>
  <c r="AJ897" i="3"/>
  <c r="AE897" i="3"/>
  <c r="V897" i="3"/>
  <c r="U897" i="3"/>
  <c r="R897" i="3"/>
  <c r="N897" i="3"/>
  <c r="M897" i="3"/>
  <c r="H897" i="3"/>
  <c r="I897" i="3" s="1"/>
  <c r="T897" i="3" s="1"/>
  <c r="AJ896" i="3"/>
  <c r="AE896" i="3"/>
  <c r="V896" i="3"/>
  <c r="U896" i="3"/>
  <c r="R896" i="3"/>
  <c r="N896" i="3"/>
  <c r="M896" i="3"/>
  <c r="H896" i="3"/>
  <c r="I896" i="3" s="1"/>
  <c r="T896" i="3" s="1"/>
  <c r="AJ895" i="3"/>
  <c r="W895" i="3"/>
  <c r="X895" i="3" s="1"/>
  <c r="V895" i="3"/>
  <c r="AF895" i="3" s="1"/>
  <c r="AH895" i="3" s="1"/>
  <c r="U895" i="3"/>
  <c r="R895" i="3"/>
  <c r="N895" i="3"/>
  <c r="M895" i="3"/>
  <c r="H895" i="3"/>
  <c r="I895" i="3" s="1"/>
  <c r="T895" i="3" s="1"/>
  <c r="AJ894" i="3"/>
  <c r="V894" i="3"/>
  <c r="AF894" i="3" s="1"/>
  <c r="AH894" i="3" s="1"/>
  <c r="R894" i="3"/>
  <c r="N894" i="3"/>
  <c r="M894" i="3"/>
  <c r="H894" i="3"/>
  <c r="AJ893" i="3"/>
  <c r="AE893" i="3"/>
  <c r="Z893" i="3"/>
  <c r="W893" i="3"/>
  <c r="X893" i="3" s="1"/>
  <c r="AA893" i="3" s="1"/>
  <c r="V893" i="3"/>
  <c r="AF893" i="3" s="1"/>
  <c r="AH893" i="3" s="1"/>
  <c r="R893" i="3"/>
  <c r="N893" i="3"/>
  <c r="M893" i="3"/>
  <c r="J893" i="3"/>
  <c r="H893" i="3"/>
  <c r="AJ892" i="3"/>
  <c r="V892" i="3"/>
  <c r="R892" i="3"/>
  <c r="N892" i="3"/>
  <c r="M892" i="3"/>
  <c r="J892" i="3"/>
  <c r="S892" i="3" s="1"/>
  <c r="H892" i="3"/>
  <c r="I892" i="3" s="1"/>
  <c r="T892" i="3" s="1"/>
  <c r="J891" i="3"/>
  <c r="I891" i="3"/>
  <c r="AJ888" i="3"/>
  <c r="U888" i="3"/>
  <c r="V888" i="3" s="1"/>
  <c r="R888" i="3"/>
  <c r="N888" i="3"/>
  <c r="M888" i="3"/>
  <c r="H888" i="3"/>
  <c r="AJ887" i="3"/>
  <c r="V887" i="3"/>
  <c r="U887" i="3"/>
  <c r="R887" i="3"/>
  <c r="N887" i="3"/>
  <c r="AE887" i="3" s="1"/>
  <c r="M887" i="3"/>
  <c r="H887" i="3"/>
  <c r="AJ886" i="3"/>
  <c r="AH886" i="3"/>
  <c r="AE886" i="3"/>
  <c r="Z886" i="3"/>
  <c r="W886" i="3"/>
  <c r="X886" i="3" s="1"/>
  <c r="AA886" i="3" s="1"/>
  <c r="V886" i="3"/>
  <c r="AF886" i="3" s="1"/>
  <c r="AG886" i="3" s="1"/>
  <c r="R886" i="3"/>
  <c r="N886" i="3"/>
  <c r="M886" i="3"/>
  <c r="H886" i="3"/>
  <c r="AJ885" i="3"/>
  <c r="AH885" i="3"/>
  <c r="AE885" i="3"/>
  <c r="Z885" i="3"/>
  <c r="W885" i="3"/>
  <c r="X885" i="3" s="1"/>
  <c r="AA885" i="3" s="1"/>
  <c r="V885" i="3"/>
  <c r="AF885" i="3" s="1"/>
  <c r="AG885" i="3" s="1"/>
  <c r="R885" i="3"/>
  <c r="N885" i="3"/>
  <c r="M885" i="3"/>
  <c r="H885" i="3"/>
  <c r="AJ884" i="3"/>
  <c r="V884" i="3"/>
  <c r="R884" i="3"/>
  <c r="N884" i="3"/>
  <c r="M884" i="3"/>
  <c r="J884" i="3"/>
  <c r="S884" i="3" s="1"/>
  <c r="H884" i="3"/>
  <c r="AJ883" i="3"/>
  <c r="AF883" i="3"/>
  <c r="Z883" i="3"/>
  <c r="X883" i="3"/>
  <c r="AA883" i="3" s="1"/>
  <c r="V883" i="3"/>
  <c r="W883" i="3" s="1"/>
  <c r="R883" i="3"/>
  <c r="N883" i="3"/>
  <c r="M883" i="3"/>
  <c r="H883" i="3"/>
  <c r="I883" i="3" s="1"/>
  <c r="T883" i="3" s="1"/>
  <c r="J882" i="3"/>
  <c r="I882" i="3"/>
  <c r="AE878" i="3"/>
  <c r="V878" i="3"/>
  <c r="R878" i="3"/>
  <c r="N878" i="3"/>
  <c r="M878" i="3"/>
  <c r="I878" i="3"/>
  <c r="T878" i="3" s="1"/>
  <c r="AF877" i="3"/>
  <c r="AH877" i="3" s="1"/>
  <c r="Z877" i="3"/>
  <c r="X877" i="3"/>
  <c r="AA877" i="3" s="1"/>
  <c r="V877" i="3"/>
  <c r="W877" i="3" s="1"/>
  <c r="R877" i="3"/>
  <c r="N877" i="3"/>
  <c r="M877" i="3"/>
  <c r="I877" i="3"/>
  <c r="T877" i="3" s="1"/>
  <c r="V876" i="3"/>
  <c r="R876" i="3"/>
  <c r="N876" i="3"/>
  <c r="AE876" i="3" s="1"/>
  <c r="M876" i="3"/>
  <c r="I876" i="3"/>
  <c r="T876" i="3" s="1"/>
  <c r="AF875" i="3"/>
  <c r="AH875" i="3" s="1"/>
  <c r="Z875" i="3"/>
  <c r="X875" i="3"/>
  <c r="AA875" i="3" s="1"/>
  <c r="V875" i="3"/>
  <c r="W875" i="3" s="1"/>
  <c r="R875" i="3"/>
  <c r="N875" i="3"/>
  <c r="M875" i="3"/>
  <c r="I875" i="3"/>
  <c r="AJ874" i="3"/>
  <c r="W874" i="3"/>
  <c r="X874" i="3" s="1"/>
  <c r="U874" i="3"/>
  <c r="V874" i="3" s="1"/>
  <c r="AF874" i="3" s="1"/>
  <c r="AH874" i="3" s="1"/>
  <c r="R874" i="3"/>
  <c r="N874" i="3"/>
  <c r="AE874" i="3" s="1"/>
  <c r="M874" i="3"/>
  <c r="H874" i="3"/>
  <c r="I874" i="3" s="1"/>
  <c r="T874" i="3" s="1"/>
  <c r="AJ873" i="3"/>
  <c r="AF873" i="3"/>
  <c r="V873" i="3"/>
  <c r="W873" i="3" s="1"/>
  <c r="X873" i="3" s="1"/>
  <c r="R873" i="3"/>
  <c r="N873" i="3"/>
  <c r="M873" i="3"/>
  <c r="J873" i="3"/>
  <c r="H873" i="3"/>
  <c r="AJ872" i="3"/>
  <c r="AH872" i="3"/>
  <c r="AF872" i="3"/>
  <c r="AA872" i="3"/>
  <c r="W872" i="3"/>
  <c r="X872" i="3" s="1"/>
  <c r="Z872" i="3" s="1"/>
  <c r="V872" i="3"/>
  <c r="R872" i="3"/>
  <c r="N872" i="3"/>
  <c r="M872" i="3"/>
  <c r="H872" i="3"/>
  <c r="I872" i="3" s="1"/>
  <c r="T872" i="3" s="1"/>
  <c r="AJ871" i="3"/>
  <c r="AE871" i="3"/>
  <c r="Z871" i="3"/>
  <c r="X871" i="3"/>
  <c r="AA871" i="3" s="1"/>
  <c r="W871" i="3"/>
  <c r="AD871" i="3" s="1"/>
  <c r="V871" i="3"/>
  <c r="AF871" i="3" s="1"/>
  <c r="AH871" i="3" s="1"/>
  <c r="R871" i="3"/>
  <c r="N871" i="3"/>
  <c r="M871" i="3"/>
  <c r="J871" i="3"/>
  <c r="S871" i="3" s="1"/>
  <c r="H871" i="3"/>
  <c r="AJ870" i="3"/>
  <c r="AE870" i="3"/>
  <c r="V870" i="3"/>
  <c r="R870" i="3"/>
  <c r="N870" i="3"/>
  <c r="M870" i="3"/>
  <c r="I870" i="3"/>
  <c r="H870" i="3"/>
  <c r="AJ869" i="3"/>
  <c r="AE869" i="3"/>
  <c r="V869" i="3"/>
  <c r="R869" i="3"/>
  <c r="N869" i="3"/>
  <c r="M869" i="3"/>
  <c r="H869" i="3"/>
  <c r="J868" i="3"/>
  <c r="I868" i="3"/>
  <c r="AJ865" i="3"/>
  <c r="U865" i="3"/>
  <c r="V865" i="3" s="1"/>
  <c r="R865" i="3"/>
  <c r="N865" i="3"/>
  <c r="M865" i="3"/>
  <c r="J865" i="3"/>
  <c r="S865" i="3" s="1"/>
  <c r="H865" i="3"/>
  <c r="AJ864" i="3"/>
  <c r="AE864" i="3"/>
  <c r="U864" i="3"/>
  <c r="V864" i="3" s="1"/>
  <c r="AF864" i="3" s="1"/>
  <c r="AH864" i="3" s="1"/>
  <c r="R864" i="3"/>
  <c r="N864" i="3"/>
  <c r="M864" i="3"/>
  <c r="J864" i="3"/>
  <c r="H864" i="3"/>
  <c r="I864" i="3" s="1"/>
  <c r="AJ863" i="3"/>
  <c r="AE863" i="3"/>
  <c r="AD863" i="3"/>
  <c r="W863" i="3"/>
  <c r="X863" i="3" s="1"/>
  <c r="V863" i="3"/>
  <c r="AF863" i="3" s="1"/>
  <c r="AH863" i="3" s="1"/>
  <c r="R863" i="3"/>
  <c r="N863" i="3"/>
  <c r="M863" i="3"/>
  <c r="H863" i="3"/>
  <c r="AJ862" i="3"/>
  <c r="V862" i="3"/>
  <c r="R862" i="3"/>
  <c r="N862" i="3"/>
  <c r="M862" i="3"/>
  <c r="H862" i="3"/>
  <c r="AJ861" i="3"/>
  <c r="AH861" i="3"/>
  <c r="AF861" i="3"/>
  <c r="W861" i="3"/>
  <c r="X861" i="3" s="1"/>
  <c r="V861" i="3"/>
  <c r="R861" i="3"/>
  <c r="N861" i="3"/>
  <c r="M861" i="3"/>
  <c r="H861" i="3"/>
  <c r="AJ860" i="3"/>
  <c r="V860" i="3"/>
  <c r="R860" i="3"/>
  <c r="N860" i="3"/>
  <c r="M860" i="3"/>
  <c r="H860" i="3"/>
  <c r="J859" i="3"/>
  <c r="I859" i="3"/>
  <c r="AF855" i="3"/>
  <c r="AH855" i="3" s="1"/>
  <c r="AE855" i="3"/>
  <c r="W855" i="3"/>
  <c r="X855" i="3" s="1"/>
  <c r="AA855" i="3" s="1"/>
  <c r="V855" i="3"/>
  <c r="R855" i="3"/>
  <c r="AH854" i="3"/>
  <c r="AE854" i="3"/>
  <c r="X854" i="3"/>
  <c r="W854" i="3"/>
  <c r="V854" i="3"/>
  <c r="AF854" i="3" s="1"/>
  <c r="R854" i="3"/>
  <c r="I854" i="3"/>
  <c r="T854" i="3" s="1"/>
  <c r="AJ853" i="3"/>
  <c r="AF853" i="3"/>
  <c r="AH853" i="3" s="1"/>
  <c r="U853" i="3"/>
  <c r="V853" i="3" s="1"/>
  <c r="W853" i="3" s="1"/>
  <c r="AD853" i="3" s="1"/>
  <c r="R853" i="3"/>
  <c r="N853" i="3"/>
  <c r="AE853" i="3" s="1"/>
  <c r="M853" i="3"/>
  <c r="J853" i="3"/>
  <c r="H853" i="3"/>
  <c r="AJ852" i="3"/>
  <c r="U852" i="3"/>
  <c r="V852" i="3" s="1"/>
  <c r="R852" i="3"/>
  <c r="N852" i="3"/>
  <c r="AE852" i="3" s="1"/>
  <c r="M852" i="3"/>
  <c r="H852" i="3"/>
  <c r="J851" i="3"/>
  <c r="I851" i="3"/>
  <c r="AF848" i="3"/>
  <c r="AH848" i="3" s="1"/>
  <c r="AE848" i="3"/>
  <c r="Z848" i="3"/>
  <c r="V848" i="3"/>
  <c r="W848" i="3" s="1"/>
  <c r="X848" i="3" s="1"/>
  <c r="AA848" i="3" s="1"/>
  <c r="R848" i="3"/>
  <c r="N848" i="3"/>
  <c r="M848" i="3"/>
  <c r="AJ847" i="3"/>
  <c r="AD847" i="3"/>
  <c r="X847" i="3"/>
  <c r="V847" i="3"/>
  <c r="W847" i="3" s="1"/>
  <c r="R847" i="3"/>
  <c r="N847" i="3"/>
  <c r="M847" i="3"/>
  <c r="H847" i="3"/>
  <c r="I847" i="3" s="1"/>
  <c r="T847" i="3" s="1"/>
  <c r="AJ846" i="3"/>
  <c r="AF846" i="3"/>
  <c r="AH846" i="3" s="1"/>
  <c r="X846" i="3"/>
  <c r="W846" i="3"/>
  <c r="V846" i="3"/>
  <c r="R846" i="3"/>
  <c r="N846" i="3"/>
  <c r="M846" i="3"/>
  <c r="H846" i="3"/>
  <c r="I846" i="3" s="1"/>
  <c r="T846" i="3" s="1"/>
  <c r="AJ845" i="3"/>
  <c r="AG845" i="3"/>
  <c r="AF845" i="3"/>
  <c r="AH845" i="3" s="1"/>
  <c r="X845" i="3"/>
  <c r="W845" i="3"/>
  <c r="V845" i="3"/>
  <c r="R845" i="3"/>
  <c r="N845" i="3"/>
  <c r="M845" i="3"/>
  <c r="I845" i="3"/>
  <c r="H845" i="3"/>
  <c r="AJ844" i="3"/>
  <c r="AE844" i="3"/>
  <c r="AA844" i="3"/>
  <c r="V844" i="3"/>
  <c r="W844" i="3" s="1"/>
  <c r="X844" i="3" s="1"/>
  <c r="Z844" i="3" s="1"/>
  <c r="R844" i="3"/>
  <c r="N844" i="3"/>
  <c r="M844" i="3"/>
  <c r="H844" i="3"/>
  <c r="AJ843" i="3"/>
  <c r="AE843" i="3"/>
  <c r="V843" i="3"/>
  <c r="AF843" i="3" s="1"/>
  <c r="AH843" i="3" s="1"/>
  <c r="R843" i="3"/>
  <c r="P843" i="3"/>
  <c r="N843" i="3"/>
  <c r="M843" i="3"/>
  <c r="J843" i="3"/>
  <c r="I843" i="3"/>
  <c r="T843" i="3" s="1"/>
  <c r="H843" i="3"/>
  <c r="J842" i="3"/>
  <c r="I842" i="3"/>
  <c r="AJ839" i="3"/>
  <c r="AD839" i="3"/>
  <c r="Z839" i="3"/>
  <c r="U839" i="3"/>
  <c r="V839" i="3" s="1"/>
  <c r="W839" i="3" s="1"/>
  <c r="X839" i="3" s="1"/>
  <c r="AA839" i="3" s="1"/>
  <c r="R839" i="3"/>
  <c r="N839" i="3"/>
  <c r="AE839" i="3" s="1"/>
  <c r="M839" i="3"/>
  <c r="I839" i="3"/>
  <c r="H839" i="3"/>
  <c r="AJ838" i="3"/>
  <c r="AD838" i="3"/>
  <c r="U838" i="3"/>
  <c r="V838" i="3" s="1"/>
  <c r="W838" i="3" s="1"/>
  <c r="X838" i="3" s="1"/>
  <c r="AA838" i="3" s="1"/>
  <c r="T838" i="3"/>
  <c r="R838" i="3"/>
  <c r="N838" i="3"/>
  <c r="AE838" i="3" s="1"/>
  <c r="M838" i="3"/>
  <c r="I838" i="3"/>
  <c r="P838" i="3" s="1"/>
  <c r="H838" i="3"/>
  <c r="AJ837" i="3"/>
  <c r="U837" i="3"/>
  <c r="V837" i="3" s="1"/>
  <c r="R837" i="3"/>
  <c r="N837" i="3"/>
  <c r="AE837" i="3" s="1"/>
  <c r="M837" i="3"/>
  <c r="I837" i="3"/>
  <c r="P837" i="3" s="1"/>
  <c r="H837" i="3"/>
  <c r="AJ836" i="3"/>
  <c r="AF836" i="3"/>
  <c r="AH836" i="3" s="1"/>
  <c r="Z836" i="3"/>
  <c r="X836" i="3"/>
  <c r="AA836" i="3" s="1"/>
  <c r="V836" i="3"/>
  <c r="W836" i="3" s="1"/>
  <c r="R836" i="3"/>
  <c r="N836" i="3"/>
  <c r="M836" i="3"/>
  <c r="H836" i="3"/>
  <c r="I836" i="3" s="1"/>
  <c r="T836" i="3" s="1"/>
  <c r="AJ835" i="3"/>
  <c r="AF835" i="3"/>
  <c r="AH835" i="3" s="1"/>
  <c r="AA835" i="3"/>
  <c r="X835" i="3"/>
  <c r="Z835" i="3" s="1"/>
  <c r="W835" i="3"/>
  <c r="V835" i="3"/>
  <c r="R835" i="3"/>
  <c r="N835" i="3"/>
  <c r="M835" i="3"/>
  <c r="H835" i="3"/>
  <c r="I835" i="3" s="1"/>
  <c r="T835" i="3" s="1"/>
  <c r="AJ834" i="3"/>
  <c r="X834" i="3"/>
  <c r="W834" i="3"/>
  <c r="AD834" i="3" s="1"/>
  <c r="V834" i="3"/>
  <c r="AF834" i="3" s="1"/>
  <c r="AH834" i="3" s="1"/>
  <c r="R834" i="3"/>
  <c r="N834" i="3"/>
  <c r="AE834" i="3" s="1"/>
  <c r="M834" i="3"/>
  <c r="J834" i="3"/>
  <c r="S834" i="3" s="1"/>
  <c r="H834" i="3"/>
  <c r="I834" i="3" s="1"/>
  <c r="T834" i="3" s="1"/>
  <c r="J833" i="3"/>
  <c r="I833" i="3"/>
  <c r="AA830" i="3"/>
  <c r="X830" i="3"/>
  <c r="R828" i="3"/>
  <c r="M828" i="3"/>
  <c r="R827" i="3"/>
  <c r="O827" i="3"/>
  <c r="M827" i="3"/>
  <c r="R826" i="3"/>
  <c r="O826" i="3"/>
  <c r="M826" i="3"/>
  <c r="R825" i="3"/>
  <c r="O825" i="3"/>
  <c r="M825" i="3"/>
  <c r="R824" i="3"/>
  <c r="O824" i="3"/>
  <c r="M824" i="3"/>
  <c r="R823" i="3"/>
  <c r="O823" i="3"/>
  <c r="M823" i="3"/>
  <c r="AJ813" i="3"/>
  <c r="AE813" i="3"/>
  <c r="V813" i="3"/>
  <c r="R813" i="3"/>
  <c r="J813" i="3"/>
  <c r="S813" i="3" s="1"/>
  <c r="I813" i="3"/>
  <c r="T813" i="3" s="1"/>
  <c r="H813" i="3"/>
  <c r="Y812" i="3"/>
  <c r="J812" i="3"/>
  <c r="I812" i="3"/>
  <c r="AJ808" i="3"/>
  <c r="AE808" i="3"/>
  <c r="W808" i="3"/>
  <c r="X808" i="3" s="1"/>
  <c r="V808" i="3"/>
  <c r="AF808" i="3" s="1"/>
  <c r="AH808" i="3" s="1"/>
  <c r="R808" i="3"/>
  <c r="J808" i="3"/>
  <c r="H808" i="3"/>
  <c r="Y807" i="3"/>
  <c r="J807" i="3"/>
  <c r="I807" i="3"/>
  <c r="AJ803" i="3"/>
  <c r="AF803" i="3"/>
  <c r="AH803" i="3" s="1"/>
  <c r="AE803" i="3"/>
  <c r="V803" i="3"/>
  <c r="W803" i="3" s="1"/>
  <c r="X803" i="3" s="1"/>
  <c r="R803" i="3"/>
  <c r="H803" i="3"/>
  <c r="I803" i="3" s="1"/>
  <c r="T803" i="3" s="1"/>
  <c r="Y802" i="3"/>
  <c r="J802" i="3"/>
  <c r="I802" i="3"/>
  <c r="AJ798" i="3"/>
  <c r="AH798" i="3"/>
  <c r="AF798" i="3"/>
  <c r="AE798" i="3"/>
  <c r="W798" i="3"/>
  <c r="X798" i="3" s="1"/>
  <c r="V798" i="3"/>
  <c r="S798" i="3"/>
  <c r="R798" i="3"/>
  <c r="H798" i="3"/>
  <c r="Y797" i="3"/>
  <c r="J797" i="3"/>
  <c r="I797" i="3"/>
  <c r="AJ792" i="3"/>
  <c r="AE792" i="3"/>
  <c r="V792" i="3"/>
  <c r="R792" i="3"/>
  <c r="H792" i="3"/>
  <c r="I792" i="3" s="1"/>
  <c r="T792" i="3" s="1"/>
  <c r="Y791" i="3"/>
  <c r="J791" i="3"/>
  <c r="I791" i="3"/>
  <c r="AJ787" i="3"/>
  <c r="AK787" i="3" s="1"/>
  <c r="AE787" i="3"/>
  <c r="W787" i="3"/>
  <c r="X787" i="3" s="1"/>
  <c r="Z787" i="3" s="1"/>
  <c r="Y787" i="3" s="1"/>
  <c r="V787" i="3"/>
  <c r="AF787" i="3" s="1"/>
  <c r="AH787" i="3" s="1"/>
  <c r="R787" i="3"/>
  <c r="J787" i="3"/>
  <c r="S787" i="3" s="1"/>
  <c r="I787" i="3"/>
  <c r="T787" i="3" s="1"/>
  <c r="H787" i="3"/>
  <c r="Y786" i="3"/>
  <c r="J786" i="3"/>
  <c r="I786" i="3"/>
  <c r="AJ783" i="3"/>
  <c r="AF783" i="3"/>
  <c r="AH783" i="3" s="1"/>
  <c r="AE783" i="3"/>
  <c r="Z783" i="3"/>
  <c r="Y783" i="3" s="1"/>
  <c r="X783" i="3"/>
  <c r="AA783" i="3" s="1"/>
  <c r="W783" i="3"/>
  <c r="V783" i="3"/>
  <c r="R783" i="3"/>
  <c r="H783" i="3"/>
  <c r="AJ782" i="3"/>
  <c r="AE782" i="3"/>
  <c r="V782" i="3"/>
  <c r="R782" i="3"/>
  <c r="J782" i="3"/>
  <c r="S782" i="3" s="1"/>
  <c r="I782" i="3"/>
  <c r="T782" i="3" s="1"/>
  <c r="H782" i="3"/>
  <c r="Y781" i="3"/>
  <c r="J781" i="3"/>
  <c r="I781" i="3"/>
  <c r="AJ776" i="3"/>
  <c r="AE776" i="3"/>
  <c r="W776" i="3"/>
  <c r="X776" i="3" s="1"/>
  <c r="V776" i="3"/>
  <c r="AF776" i="3" s="1"/>
  <c r="AH776" i="3" s="1"/>
  <c r="R776" i="3"/>
  <c r="J776" i="3"/>
  <c r="H776" i="3"/>
  <c r="Y775" i="3"/>
  <c r="J775" i="3"/>
  <c r="I775" i="3"/>
  <c r="AJ771" i="3"/>
  <c r="AE771" i="3"/>
  <c r="V771" i="3"/>
  <c r="W771" i="3" s="1"/>
  <c r="X771" i="3" s="1"/>
  <c r="R771" i="3"/>
  <c r="H771" i="3"/>
  <c r="I771" i="3" s="1"/>
  <c r="T771" i="3" s="1"/>
  <c r="Y770" i="3"/>
  <c r="J770" i="3"/>
  <c r="J798" i="3" s="1"/>
  <c r="I770" i="3"/>
  <c r="X766" i="3"/>
  <c r="AJ763" i="3"/>
  <c r="AF763" i="3"/>
  <c r="AH763" i="3" s="1"/>
  <c r="AE763" i="3"/>
  <c r="X763" i="3"/>
  <c r="AA763" i="3" s="1"/>
  <c r="W763" i="3"/>
  <c r="V763" i="3"/>
  <c r="R763" i="3"/>
  <c r="H763" i="3"/>
  <c r="AJ762" i="3"/>
  <c r="AE762" i="3"/>
  <c r="V762" i="3"/>
  <c r="R762" i="3"/>
  <c r="J762" i="3"/>
  <c r="S762" i="3" s="1"/>
  <c r="H762" i="3"/>
  <c r="Y761" i="3"/>
  <c r="J761" i="3"/>
  <c r="I761" i="3"/>
  <c r="AJ758" i="3"/>
  <c r="AE758" i="3"/>
  <c r="W758" i="3"/>
  <c r="X758" i="3" s="1"/>
  <c r="V758" i="3"/>
  <c r="AF758" i="3" s="1"/>
  <c r="AH758" i="3" s="1"/>
  <c r="R758" i="3"/>
  <c r="H758" i="3"/>
  <c r="AJ757" i="3"/>
  <c r="AH757" i="3"/>
  <c r="AF757" i="3"/>
  <c r="AE757" i="3"/>
  <c r="W757" i="3"/>
  <c r="X757" i="3" s="1"/>
  <c r="V757" i="3"/>
  <c r="R757" i="3"/>
  <c r="H757" i="3"/>
  <c r="Y756" i="3"/>
  <c r="J756" i="3"/>
  <c r="I756" i="3"/>
  <c r="AJ753" i="3"/>
  <c r="AE753" i="3"/>
  <c r="V753" i="3"/>
  <c r="R753" i="3"/>
  <c r="I753" i="3"/>
  <c r="T753" i="3" s="1"/>
  <c r="H753" i="3"/>
  <c r="AJ752" i="3"/>
  <c r="AF752" i="3"/>
  <c r="AH752" i="3" s="1"/>
  <c r="AE752" i="3"/>
  <c r="Z752" i="3"/>
  <c r="Y752" i="3" s="1"/>
  <c r="X752" i="3"/>
  <c r="AA752" i="3" s="1"/>
  <c r="W752" i="3"/>
  <c r="V752" i="3"/>
  <c r="R752" i="3"/>
  <c r="H752" i="3"/>
  <c r="Y751" i="3"/>
  <c r="J751" i="3"/>
  <c r="I751" i="3"/>
  <c r="X747" i="3"/>
  <c r="AE741" i="3"/>
  <c r="V741" i="3"/>
  <c r="W741" i="3" s="1"/>
  <c r="X741" i="3" s="1"/>
  <c r="R741" i="3"/>
  <c r="N741" i="3"/>
  <c r="M741" i="3"/>
  <c r="I741" i="3"/>
  <c r="AD740" i="3"/>
  <c r="X740" i="3"/>
  <c r="V740" i="3"/>
  <c r="W740" i="3" s="1"/>
  <c r="R740" i="3"/>
  <c r="N740" i="3"/>
  <c r="M740" i="3"/>
  <c r="I740" i="3"/>
  <c r="T740" i="3" s="1"/>
  <c r="AF739" i="3"/>
  <c r="AH739" i="3" s="1"/>
  <c r="AE739" i="3"/>
  <c r="X739" i="3"/>
  <c r="V739" i="3"/>
  <c r="W739" i="3" s="1"/>
  <c r="R739" i="3"/>
  <c r="Y738" i="3"/>
  <c r="I738" i="3"/>
  <c r="AF735" i="3"/>
  <c r="AH735" i="3" s="1"/>
  <c r="AE735" i="3"/>
  <c r="X735" i="3"/>
  <c r="V735" i="3"/>
  <c r="W735" i="3" s="1"/>
  <c r="R735" i="3"/>
  <c r="AH734" i="3"/>
  <c r="AF734" i="3"/>
  <c r="AE734" i="3"/>
  <c r="X734" i="3"/>
  <c r="W734" i="3"/>
  <c r="V734" i="3"/>
  <c r="R734" i="3"/>
  <c r="P734" i="3"/>
  <c r="N734" i="3"/>
  <c r="M734" i="3"/>
  <c r="I734" i="3"/>
  <c r="T734" i="3" s="1"/>
  <c r="AH733" i="3"/>
  <c r="AE733" i="3"/>
  <c r="W733" i="3"/>
  <c r="V733" i="3"/>
  <c r="AF733" i="3" s="1"/>
  <c r="R733" i="3"/>
  <c r="P733" i="3"/>
  <c r="M733" i="3"/>
  <c r="I733" i="3"/>
  <c r="T733" i="3" s="1"/>
  <c r="Y732" i="3"/>
  <c r="I732" i="3"/>
  <c r="AE729" i="3"/>
  <c r="AD729" i="3"/>
  <c r="X729" i="3"/>
  <c r="V729" i="3"/>
  <c r="W729" i="3" s="1"/>
  <c r="R729" i="3"/>
  <c r="M729" i="3"/>
  <c r="I729" i="3"/>
  <c r="P729" i="3" s="1"/>
  <c r="Y728" i="3"/>
  <c r="I728" i="3"/>
  <c r="X725" i="3"/>
  <c r="V725" i="3"/>
  <c r="W725" i="3" s="1"/>
  <c r="R725" i="3"/>
  <c r="N725" i="3"/>
  <c r="M725" i="3"/>
  <c r="I725" i="3"/>
  <c r="T725" i="3" s="1"/>
  <c r="AE724" i="3"/>
  <c r="V724" i="3"/>
  <c r="W724" i="3" s="1"/>
  <c r="R724" i="3"/>
  <c r="N724" i="3"/>
  <c r="M724" i="3"/>
  <c r="I724" i="3"/>
  <c r="Y723" i="3"/>
  <c r="I723" i="3"/>
  <c r="AF720" i="3"/>
  <c r="AH720" i="3" s="1"/>
  <c r="AE720" i="3"/>
  <c r="X720" i="3"/>
  <c r="V720" i="3"/>
  <c r="W720" i="3" s="1"/>
  <c r="R720" i="3"/>
  <c r="AH719" i="3"/>
  <c r="AF719" i="3"/>
  <c r="AE719" i="3"/>
  <c r="X719" i="3"/>
  <c r="W719" i="3"/>
  <c r="V719" i="3"/>
  <c r="R719" i="3"/>
  <c r="N719" i="3"/>
  <c r="M719" i="3"/>
  <c r="I719" i="3"/>
  <c r="AH718" i="3"/>
  <c r="AE718" i="3"/>
  <c r="AA718" i="3"/>
  <c r="Y718" i="3"/>
  <c r="AB718" i="3" s="1"/>
  <c r="X718" i="3"/>
  <c r="Z718" i="3" s="1"/>
  <c r="W718" i="3"/>
  <c r="V718" i="3"/>
  <c r="AF718" i="3" s="1"/>
  <c r="T718" i="3"/>
  <c r="R718" i="3"/>
  <c r="I718" i="3"/>
  <c r="Y717" i="3"/>
  <c r="I717" i="3"/>
  <c r="AD713" i="3"/>
  <c r="X713" i="3"/>
  <c r="V713" i="3"/>
  <c r="W713" i="3" s="1"/>
  <c r="R713" i="3"/>
  <c r="N713" i="3"/>
  <c r="M713" i="3"/>
  <c r="I713" i="3"/>
  <c r="T713" i="3" s="1"/>
  <c r="Y712" i="3"/>
  <c r="I712" i="3"/>
  <c r="AH709" i="3"/>
  <c r="AE709" i="3"/>
  <c r="AD709" i="3"/>
  <c r="Z709" i="3"/>
  <c r="Y709" i="3"/>
  <c r="W709" i="3"/>
  <c r="X709" i="3" s="1"/>
  <c r="AA709" i="3" s="1"/>
  <c r="V709" i="3"/>
  <c r="AF709" i="3" s="1"/>
  <c r="AG709" i="3" s="1"/>
  <c r="R709" i="3"/>
  <c r="N709" i="3"/>
  <c r="M709" i="3"/>
  <c r="Y708" i="3"/>
  <c r="I708" i="3"/>
  <c r="AE705" i="3"/>
  <c r="V705" i="3"/>
  <c r="W705" i="3" s="1"/>
  <c r="R705" i="3"/>
  <c r="N705" i="3"/>
  <c r="M705" i="3"/>
  <c r="I705" i="3"/>
  <c r="X704" i="3"/>
  <c r="V704" i="3"/>
  <c r="W704" i="3" s="1"/>
  <c r="R704" i="3"/>
  <c r="N704" i="3"/>
  <c r="M704" i="3"/>
  <c r="I704" i="3"/>
  <c r="T704" i="3" s="1"/>
  <c r="Y703" i="3"/>
  <c r="I703" i="3"/>
  <c r="AE700" i="3"/>
  <c r="AD700" i="3"/>
  <c r="Z700" i="3"/>
  <c r="Y700" i="3"/>
  <c r="W700" i="3"/>
  <c r="X700" i="3" s="1"/>
  <c r="AA700" i="3" s="1"/>
  <c r="V700" i="3"/>
  <c r="AF700" i="3" s="1"/>
  <c r="AH700" i="3" s="1"/>
  <c r="R700" i="3"/>
  <c r="N700" i="3"/>
  <c r="M700" i="3"/>
  <c r="AH699" i="3"/>
  <c r="AF699" i="3"/>
  <c r="AE699" i="3"/>
  <c r="W699" i="3"/>
  <c r="X699" i="3" s="1"/>
  <c r="V699" i="3"/>
  <c r="R699" i="3"/>
  <c r="P699" i="3"/>
  <c r="N699" i="3"/>
  <c r="M699" i="3"/>
  <c r="I699" i="3"/>
  <c r="T699" i="3" s="1"/>
  <c r="Y698" i="3"/>
  <c r="I698" i="3"/>
  <c r="I739" i="3" s="1"/>
  <c r="T739" i="3" s="1"/>
  <c r="AJ694" i="3"/>
  <c r="AF694" i="3"/>
  <c r="AH694" i="3" s="1"/>
  <c r="V694" i="3"/>
  <c r="W694" i="3" s="1"/>
  <c r="X694" i="3" s="1"/>
  <c r="AA694" i="3" s="1"/>
  <c r="R694" i="3"/>
  <c r="N694" i="3"/>
  <c r="AE694" i="3" s="1"/>
  <c r="M694" i="3"/>
  <c r="H694" i="3"/>
  <c r="Y693" i="3"/>
  <c r="J693" i="3"/>
  <c r="I693" i="3"/>
  <c r="AJ690" i="3"/>
  <c r="AH690" i="3"/>
  <c r="AF690" i="3"/>
  <c r="AA690" i="3"/>
  <c r="W690" i="3"/>
  <c r="X690" i="3" s="1"/>
  <c r="Z690" i="3" s="1"/>
  <c r="Y690" i="3" s="1"/>
  <c r="AB690" i="3" s="1"/>
  <c r="V690" i="3"/>
  <c r="R690" i="3"/>
  <c r="N690" i="3"/>
  <c r="AC690" i="3" s="1"/>
  <c r="M690" i="3"/>
  <c r="H690" i="3"/>
  <c r="I690" i="3" s="1"/>
  <c r="T690" i="3" s="1"/>
  <c r="AJ689" i="3"/>
  <c r="AF689" i="3"/>
  <c r="AA689" i="3"/>
  <c r="Y689" i="3"/>
  <c r="AB689" i="3" s="1"/>
  <c r="X689" i="3"/>
  <c r="Z689" i="3" s="1"/>
  <c r="W689" i="3"/>
  <c r="V689" i="3"/>
  <c r="R689" i="3"/>
  <c r="N689" i="3"/>
  <c r="M689" i="3"/>
  <c r="H689" i="3"/>
  <c r="AJ688" i="3"/>
  <c r="AD688" i="3"/>
  <c r="W688" i="3"/>
  <c r="X688" i="3" s="1"/>
  <c r="V688" i="3"/>
  <c r="AF688" i="3" s="1"/>
  <c r="AH688" i="3" s="1"/>
  <c r="R688" i="3"/>
  <c r="N688" i="3"/>
  <c r="AE688" i="3" s="1"/>
  <c r="M688" i="3"/>
  <c r="J688" i="3"/>
  <c r="S688" i="3" s="1"/>
  <c r="H688" i="3"/>
  <c r="AJ687" i="3"/>
  <c r="AE687" i="3"/>
  <c r="AD687" i="3"/>
  <c r="Z687" i="3"/>
  <c r="Y687" i="3" s="1"/>
  <c r="W687" i="3"/>
  <c r="X687" i="3" s="1"/>
  <c r="AA687" i="3" s="1"/>
  <c r="V687" i="3"/>
  <c r="AF687" i="3" s="1"/>
  <c r="AH687" i="3" s="1"/>
  <c r="R687" i="3"/>
  <c r="N687" i="3"/>
  <c r="M687" i="3"/>
  <c r="H687" i="3"/>
  <c r="Y686" i="3"/>
  <c r="J686" i="3"/>
  <c r="I686" i="3"/>
  <c r="AJ682" i="3"/>
  <c r="AE682" i="3"/>
  <c r="AD682" i="3"/>
  <c r="W682" i="3"/>
  <c r="X682" i="3" s="1"/>
  <c r="V682" i="3"/>
  <c r="AF682" i="3" s="1"/>
  <c r="AH682" i="3" s="1"/>
  <c r="R682" i="3"/>
  <c r="N682" i="3"/>
  <c r="M682" i="3"/>
  <c r="H682" i="3"/>
  <c r="AJ681" i="3"/>
  <c r="V681" i="3"/>
  <c r="R681" i="3"/>
  <c r="N681" i="3"/>
  <c r="AE681" i="3" s="1"/>
  <c r="M681" i="3"/>
  <c r="H681" i="3"/>
  <c r="AJ680" i="3"/>
  <c r="AH680" i="3"/>
  <c r="AF680" i="3"/>
  <c r="X680" i="3"/>
  <c r="W680" i="3"/>
  <c r="V680" i="3"/>
  <c r="R680" i="3"/>
  <c r="N680" i="3"/>
  <c r="M680" i="3"/>
  <c r="I680" i="3"/>
  <c r="H680" i="3"/>
  <c r="AJ679" i="3"/>
  <c r="AE679" i="3"/>
  <c r="AA679" i="3"/>
  <c r="V679" i="3"/>
  <c r="W679" i="3" s="1"/>
  <c r="X679" i="3" s="1"/>
  <c r="Z679" i="3" s="1"/>
  <c r="Y679" i="3" s="1"/>
  <c r="AB679" i="3" s="1"/>
  <c r="R679" i="3"/>
  <c r="N679" i="3"/>
  <c r="M679" i="3"/>
  <c r="H679" i="3"/>
  <c r="AJ678" i="3"/>
  <c r="AE678" i="3"/>
  <c r="V678" i="3"/>
  <c r="AF678" i="3" s="1"/>
  <c r="AH678" i="3" s="1"/>
  <c r="R678" i="3"/>
  <c r="N678" i="3"/>
  <c r="M678" i="3"/>
  <c r="J678" i="3"/>
  <c r="H678" i="3"/>
  <c r="AJ677" i="3"/>
  <c r="V677" i="3"/>
  <c r="R677" i="3"/>
  <c r="O677" i="3"/>
  <c r="N677" i="3"/>
  <c r="AE677" i="3" s="1"/>
  <c r="M677" i="3"/>
  <c r="J677" i="3"/>
  <c r="S677" i="3" s="1"/>
  <c r="I677" i="3"/>
  <c r="T677" i="3" s="1"/>
  <c r="H677" i="3"/>
  <c r="Y676" i="3"/>
  <c r="J676" i="3"/>
  <c r="I676" i="3"/>
  <c r="V672" i="3"/>
  <c r="R672" i="3"/>
  <c r="AJ671" i="3"/>
  <c r="V671" i="3"/>
  <c r="R671" i="3"/>
  <c r="N671" i="3"/>
  <c r="AE671" i="3" s="1"/>
  <c r="M671" i="3"/>
  <c r="J671" i="3"/>
  <c r="S671" i="3" s="1"/>
  <c r="H671" i="3"/>
  <c r="AJ670" i="3"/>
  <c r="AH670" i="3"/>
  <c r="AF670" i="3"/>
  <c r="W670" i="3"/>
  <c r="X670" i="3" s="1"/>
  <c r="V670" i="3"/>
  <c r="R670" i="3"/>
  <c r="N670" i="3"/>
  <c r="M670" i="3"/>
  <c r="H670" i="3"/>
  <c r="Y669" i="3"/>
  <c r="J669" i="3"/>
  <c r="I669" i="3"/>
  <c r="I672" i="3" s="1"/>
  <c r="T672" i="3" s="1"/>
  <c r="AJ665" i="3"/>
  <c r="AF665" i="3"/>
  <c r="AE665" i="3"/>
  <c r="V665" i="3"/>
  <c r="W665" i="3" s="1"/>
  <c r="X665" i="3" s="1"/>
  <c r="L665" i="3"/>
  <c r="H665" i="3"/>
  <c r="AJ664" i="3"/>
  <c r="AJ666" i="3" s="1"/>
  <c r="AI665" i="3" s="1"/>
  <c r="AF664" i="3"/>
  <c r="AH664" i="3" s="1"/>
  <c r="AE664" i="3"/>
  <c r="X664" i="3"/>
  <c r="W664" i="3"/>
  <c r="V664" i="3"/>
  <c r="T664" i="3"/>
  <c r="L664" i="3"/>
  <c r="H664" i="3"/>
  <c r="I664" i="3" s="1"/>
  <c r="AE663" i="3"/>
  <c r="V663" i="3"/>
  <c r="L663" i="3"/>
  <c r="J663" i="3"/>
  <c r="S663" i="3" s="1"/>
  <c r="I663" i="3"/>
  <c r="T663" i="3" s="1"/>
  <c r="Y662" i="3"/>
  <c r="J662" i="3"/>
  <c r="I662" i="3"/>
  <c r="AJ658" i="3"/>
  <c r="AE658" i="3"/>
  <c r="V658" i="3"/>
  <c r="L658" i="3"/>
  <c r="J658" i="3"/>
  <c r="S658" i="3" s="1"/>
  <c r="H658" i="3"/>
  <c r="I658" i="3" s="1"/>
  <c r="T658" i="3" s="1"/>
  <c r="AJ657" i="3"/>
  <c r="AE657" i="3"/>
  <c r="V657" i="3"/>
  <c r="L657" i="3"/>
  <c r="H657" i="3"/>
  <c r="Y656" i="3"/>
  <c r="J656" i="3"/>
  <c r="I656" i="3"/>
  <c r="AJ653" i="3"/>
  <c r="AK652" i="3"/>
  <c r="AI652" i="3"/>
  <c r="AE652" i="3"/>
  <c r="V652" i="3"/>
  <c r="L652" i="3"/>
  <c r="J652" i="3"/>
  <c r="S652" i="3" s="1"/>
  <c r="H652" i="3"/>
  <c r="AI651" i="3"/>
  <c r="AE651" i="3"/>
  <c r="V651" i="3"/>
  <c r="L651" i="3"/>
  <c r="H651" i="3"/>
  <c r="I651" i="3" s="1"/>
  <c r="T651" i="3" s="1"/>
  <c r="Y650" i="3"/>
  <c r="J650" i="3"/>
  <c r="I650" i="3"/>
  <c r="AJ647" i="3"/>
  <c r="AI646" i="3"/>
  <c r="V646" i="3"/>
  <c r="R646" i="3"/>
  <c r="N646" i="3"/>
  <c r="AE646" i="3" s="1"/>
  <c r="M646" i="3"/>
  <c r="J646" i="3"/>
  <c r="S646" i="3" s="1"/>
  <c r="AK646" i="3" s="1"/>
  <c r="H646" i="3"/>
  <c r="I646" i="3" s="1"/>
  <c r="T646" i="3" s="1"/>
  <c r="AI645" i="3"/>
  <c r="AD645" i="3"/>
  <c r="W645" i="3"/>
  <c r="X645" i="3" s="1"/>
  <c r="V645" i="3"/>
  <c r="AF645" i="3" s="1"/>
  <c r="AH645" i="3" s="1"/>
  <c r="R645" i="3"/>
  <c r="N645" i="3"/>
  <c r="AE645" i="3" s="1"/>
  <c r="M645" i="3"/>
  <c r="J645" i="3"/>
  <c r="H645" i="3"/>
  <c r="AI644" i="3"/>
  <c r="AH644" i="3"/>
  <c r="W644" i="3"/>
  <c r="X644" i="3" s="1"/>
  <c r="V644" i="3"/>
  <c r="AF644" i="3" s="1"/>
  <c r="R644" i="3"/>
  <c r="N644" i="3"/>
  <c r="M644" i="3"/>
  <c r="H644" i="3"/>
  <c r="I644" i="3" s="1"/>
  <c r="T644" i="3" s="1"/>
  <c r="AI643" i="3"/>
  <c r="V643" i="3"/>
  <c r="R643" i="3"/>
  <c r="N643" i="3"/>
  <c r="M643" i="3"/>
  <c r="H643" i="3"/>
  <c r="AI642" i="3"/>
  <c r="AE642" i="3"/>
  <c r="V642" i="3"/>
  <c r="AF642" i="3" s="1"/>
  <c r="AH642" i="3" s="1"/>
  <c r="R642" i="3"/>
  <c r="N642" i="3"/>
  <c r="M642" i="3"/>
  <c r="J642" i="3"/>
  <c r="S642" i="3" s="1"/>
  <c r="AK642" i="3" s="1"/>
  <c r="H642" i="3"/>
  <c r="AI641" i="3"/>
  <c r="AE641" i="3"/>
  <c r="W641" i="3"/>
  <c r="X641" i="3" s="1"/>
  <c r="V641" i="3"/>
  <c r="AF641" i="3" s="1"/>
  <c r="AH641" i="3" s="1"/>
  <c r="R641" i="3"/>
  <c r="I641" i="3"/>
  <c r="T641" i="3" s="1"/>
  <c r="H641" i="3"/>
  <c r="AI640" i="3"/>
  <c r="V640" i="3"/>
  <c r="R640" i="3"/>
  <c r="N640" i="3"/>
  <c r="AE640" i="3" s="1"/>
  <c r="M640" i="3"/>
  <c r="J640" i="3"/>
  <c r="S640" i="3" s="1"/>
  <c r="AK640" i="3" s="1"/>
  <c r="H640" i="3"/>
  <c r="I640" i="3" s="1"/>
  <c r="T640" i="3" s="1"/>
  <c r="AI639" i="3"/>
  <c r="AE639" i="3"/>
  <c r="AD639" i="3"/>
  <c r="W639" i="3"/>
  <c r="X639" i="3" s="1"/>
  <c r="V639" i="3"/>
  <c r="AF639" i="3" s="1"/>
  <c r="AH639" i="3" s="1"/>
  <c r="R639" i="3"/>
  <c r="N639" i="3"/>
  <c r="M639" i="3"/>
  <c r="J639" i="3"/>
  <c r="H639" i="3"/>
  <c r="AI638" i="3"/>
  <c r="AE638" i="3"/>
  <c r="AD638" i="3"/>
  <c r="V638" i="3"/>
  <c r="W638" i="3" s="1"/>
  <c r="X638" i="3" s="1"/>
  <c r="AA638" i="3" s="1"/>
  <c r="R638" i="3"/>
  <c r="N638" i="3"/>
  <c r="M638" i="3"/>
  <c r="J638" i="3"/>
  <c r="S638" i="3" s="1"/>
  <c r="AK638" i="3" s="1"/>
  <c r="H638" i="3"/>
  <c r="AI637" i="3"/>
  <c r="AF637" i="3"/>
  <c r="AH637" i="3" s="1"/>
  <c r="AE637" i="3"/>
  <c r="X637" i="3"/>
  <c r="W637" i="3"/>
  <c r="V637" i="3"/>
  <c r="R637" i="3"/>
  <c r="N637" i="3"/>
  <c r="M637" i="3"/>
  <c r="H637" i="3"/>
  <c r="I637" i="3" s="1"/>
  <c r="T637" i="3" s="1"/>
  <c r="AI636" i="3"/>
  <c r="X636" i="3"/>
  <c r="V636" i="3"/>
  <c r="W636" i="3" s="1"/>
  <c r="R636" i="3"/>
  <c r="N636" i="3"/>
  <c r="AD636" i="3" s="1"/>
  <c r="M636" i="3"/>
  <c r="H636" i="3"/>
  <c r="I636" i="3" s="1"/>
  <c r="T636" i="3" s="1"/>
  <c r="AI635" i="3"/>
  <c r="AE635" i="3"/>
  <c r="V635" i="3"/>
  <c r="AF635" i="3" s="1"/>
  <c r="AH635" i="3" s="1"/>
  <c r="R635" i="3"/>
  <c r="N635" i="3"/>
  <c r="M635" i="3"/>
  <c r="K745" i="3" s="1"/>
  <c r="H635" i="3"/>
  <c r="Y634" i="3"/>
  <c r="J634" i="3"/>
  <c r="J644" i="3" s="1"/>
  <c r="S644" i="3" s="1"/>
  <c r="AK644" i="3" s="1"/>
  <c r="I634" i="3"/>
  <c r="AJ631" i="3"/>
  <c r="AE630" i="3"/>
  <c r="V630" i="3"/>
  <c r="R630" i="3"/>
  <c r="N630" i="3"/>
  <c r="M630" i="3"/>
  <c r="J630" i="3"/>
  <c r="S630" i="3" s="1"/>
  <c r="AK630" i="3" s="1"/>
  <c r="H630" i="3"/>
  <c r="AK629" i="3"/>
  <c r="X629" i="3"/>
  <c r="W629" i="3"/>
  <c r="AD629" i="3" s="1"/>
  <c r="V629" i="3"/>
  <c r="AF629" i="3" s="1"/>
  <c r="AH629" i="3" s="1"/>
  <c r="R629" i="3"/>
  <c r="N629" i="3"/>
  <c r="AE629" i="3" s="1"/>
  <c r="M629" i="3"/>
  <c r="J629" i="3"/>
  <c r="S629" i="3" s="1"/>
  <c r="H629" i="3"/>
  <c r="I629" i="3" s="1"/>
  <c r="AH628" i="3"/>
  <c r="AF628" i="3"/>
  <c r="AB628" i="3"/>
  <c r="AA628" i="3"/>
  <c r="W628" i="3"/>
  <c r="X628" i="3" s="1"/>
  <c r="Z628" i="3" s="1"/>
  <c r="Y628" i="3" s="1"/>
  <c r="V628" i="3"/>
  <c r="R628" i="3"/>
  <c r="N628" i="3"/>
  <c r="AC628" i="3" s="1"/>
  <c r="M628" i="3"/>
  <c r="I628" i="3"/>
  <c r="T628" i="3" s="1"/>
  <c r="H628" i="3"/>
  <c r="Z627" i="3"/>
  <c r="Y627" i="3" s="1"/>
  <c r="V627" i="3"/>
  <c r="W627" i="3" s="1"/>
  <c r="X627" i="3" s="1"/>
  <c r="AA627" i="3" s="1"/>
  <c r="R627" i="3"/>
  <c r="N627" i="3"/>
  <c r="AE627" i="3" s="1"/>
  <c r="M627" i="3"/>
  <c r="J627" i="3"/>
  <c r="H627" i="3"/>
  <c r="AI626" i="3"/>
  <c r="AH626" i="3"/>
  <c r="AE626" i="3"/>
  <c r="W626" i="3"/>
  <c r="V626" i="3"/>
  <c r="AF626" i="3" s="1"/>
  <c r="R626" i="3"/>
  <c r="O626" i="3"/>
  <c r="N626" i="3"/>
  <c r="M626" i="3"/>
  <c r="J626" i="3"/>
  <c r="S626" i="3" s="1"/>
  <c r="AK626" i="3" s="1"/>
  <c r="I626" i="3"/>
  <c r="T626" i="3" s="1"/>
  <c r="H626" i="3"/>
  <c r="AI625" i="3"/>
  <c r="AE625" i="3"/>
  <c r="V625" i="3"/>
  <c r="R625" i="3"/>
  <c r="J625" i="3"/>
  <c r="S625" i="3" s="1"/>
  <c r="AK625" i="3" s="1"/>
  <c r="I625" i="3"/>
  <c r="T625" i="3" s="1"/>
  <c r="H625" i="3"/>
  <c r="AE624" i="3"/>
  <c r="V624" i="3"/>
  <c r="R624" i="3"/>
  <c r="N624" i="3"/>
  <c r="M624" i="3"/>
  <c r="J624" i="3"/>
  <c r="S624" i="3" s="1"/>
  <c r="AK624" i="3" s="1"/>
  <c r="H624" i="3"/>
  <c r="X623" i="3"/>
  <c r="W623" i="3"/>
  <c r="AD623" i="3" s="1"/>
  <c r="V623" i="3"/>
  <c r="AF623" i="3" s="1"/>
  <c r="AH623" i="3" s="1"/>
  <c r="R623" i="3"/>
  <c r="N623" i="3"/>
  <c r="AE623" i="3" s="1"/>
  <c r="M623" i="3"/>
  <c r="J623" i="3"/>
  <c r="S623" i="3" s="1"/>
  <c r="AK623" i="3" s="1"/>
  <c r="H623" i="3"/>
  <c r="I623" i="3" s="1"/>
  <c r="T623" i="3" s="1"/>
  <c r="AH622" i="3"/>
  <c r="AF622" i="3"/>
  <c r="AB622" i="3"/>
  <c r="AA622" i="3"/>
  <c r="W622" i="3"/>
  <c r="X622" i="3" s="1"/>
  <c r="Z622" i="3" s="1"/>
  <c r="Y622" i="3" s="1"/>
  <c r="V622" i="3"/>
  <c r="R622" i="3"/>
  <c r="N622" i="3"/>
  <c r="AC622" i="3" s="1"/>
  <c r="M622" i="3"/>
  <c r="H622" i="3"/>
  <c r="I622" i="3" s="1"/>
  <c r="T622" i="3" s="1"/>
  <c r="AB621" i="3"/>
  <c r="Z621" i="3"/>
  <c r="Y621" i="3" s="1"/>
  <c r="V621" i="3"/>
  <c r="W621" i="3" s="1"/>
  <c r="X621" i="3" s="1"/>
  <c r="AA621" i="3" s="1"/>
  <c r="R621" i="3"/>
  <c r="N621" i="3"/>
  <c r="AE621" i="3" s="1"/>
  <c r="M621" i="3"/>
  <c r="J621" i="3"/>
  <c r="H621" i="3"/>
  <c r="AI620" i="3"/>
  <c r="AH620" i="3"/>
  <c r="AE620" i="3"/>
  <c r="W620" i="3"/>
  <c r="V620" i="3"/>
  <c r="AF620" i="3" s="1"/>
  <c r="R620" i="3"/>
  <c r="P620" i="3"/>
  <c r="N620" i="3"/>
  <c r="M620" i="3"/>
  <c r="J620" i="3"/>
  <c r="S620" i="3" s="1"/>
  <c r="AK620" i="3" s="1"/>
  <c r="I620" i="3"/>
  <c r="T620" i="3" s="1"/>
  <c r="H620" i="3"/>
  <c r="AI619" i="3"/>
  <c r="AD619" i="3"/>
  <c r="W619" i="3"/>
  <c r="X619" i="3" s="1"/>
  <c r="V619" i="3"/>
  <c r="AF619" i="3" s="1"/>
  <c r="AH619" i="3" s="1"/>
  <c r="R619" i="3"/>
  <c r="N619" i="3"/>
  <c r="AE619" i="3" s="1"/>
  <c r="M619" i="3"/>
  <c r="H619" i="3"/>
  <c r="Y618" i="3"/>
  <c r="J618" i="3"/>
  <c r="I618" i="3"/>
  <c r="AJ613" i="3"/>
  <c r="AI612" i="3"/>
  <c r="AE612" i="3"/>
  <c r="W612" i="3"/>
  <c r="X612" i="3" s="1"/>
  <c r="V612" i="3"/>
  <c r="AF612" i="3" s="1"/>
  <c r="AH612" i="3" s="1"/>
  <c r="L612" i="3"/>
  <c r="H612" i="3"/>
  <c r="AI611" i="3"/>
  <c r="AE611" i="3"/>
  <c r="W611" i="3"/>
  <c r="X611" i="3" s="1"/>
  <c r="V611" i="3"/>
  <c r="AF611" i="3" s="1"/>
  <c r="AH611" i="3" s="1"/>
  <c r="L611" i="3"/>
  <c r="J611" i="3"/>
  <c r="H611" i="3"/>
  <c r="AK610" i="3"/>
  <c r="AI610" i="3"/>
  <c r="AE610" i="3"/>
  <c r="W610" i="3"/>
  <c r="X610" i="3" s="1"/>
  <c r="V610" i="3"/>
  <c r="AF610" i="3" s="1"/>
  <c r="AH610" i="3" s="1"/>
  <c r="L610" i="3"/>
  <c r="J610" i="3"/>
  <c r="S610" i="3" s="1"/>
  <c r="H610" i="3"/>
  <c r="AI609" i="3"/>
  <c r="AE609" i="3"/>
  <c r="W609" i="3"/>
  <c r="X609" i="3" s="1"/>
  <c r="V609" i="3"/>
  <c r="AF609" i="3" s="1"/>
  <c r="AH609" i="3" s="1"/>
  <c r="L609" i="3"/>
  <c r="H609" i="3"/>
  <c r="AI608" i="3"/>
  <c r="AE608" i="3"/>
  <c r="W608" i="3"/>
  <c r="X608" i="3" s="1"/>
  <c r="V608" i="3"/>
  <c r="AF608" i="3" s="1"/>
  <c r="AH608" i="3" s="1"/>
  <c r="L608" i="3"/>
  <c r="H608" i="3"/>
  <c r="AI607" i="3"/>
  <c r="AE607" i="3"/>
  <c r="W607" i="3"/>
  <c r="X607" i="3" s="1"/>
  <c r="V607" i="3"/>
  <c r="AF607" i="3" s="1"/>
  <c r="AH607" i="3" s="1"/>
  <c r="L607" i="3"/>
  <c r="J607" i="3"/>
  <c r="S607" i="3" s="1"/>
  <c r="AK607" i="3" s="1"/>
  <c r="H607" i="3"/>
  <c r="AI606" i="3"/>
  <c r="AE606" i="3"/>
  <c r="W606" i="3"/>
  <c r="X606" i="3" s="1"/>
  <c r="V606" i="3"/>
  <c r="AF606" i="3" s="1"/>
  <c r="AH606" i="3" s="1"/>
  <c r="L606" i="3"/>
  <c r="J606" i="3"/>
  <c r="S606" i="3" s="1"/>
  <c r="AK606" i="3" s="1"/>
  <c r="H606" i="3"/>
  <c r="AI605" i="3"/>
  <c r="AE605" i="3"/>
  <c r="W605" i="3"/>
  <c r="X605" i="3" s="1"/>
  <c r="V605" i="3"/>
  <c r="AF605" i="3" s="1"/>
  <c r="AH605" i="3" s="1"/>
  <c r="L605" i="3"/>
  <c r="H605" i="3"/>
  <c r="AI604" i="3"/>
  <c r="AE604" i="3"/>
  <c r="W604" i="3"/>
  <c r="X604" i="3" s="1"/>
  <c r="V604" i="3"/>
  <c r="AF604" i="3" s="1"/>
  <c r="AH604" i="3" s="1"/>
  <c r="L604" i="3"/>
  <c r="H604" i="3"/>
  <c r="AI603" i="3"/>
  <c r="AE603" i="3"/>
  <c r="W603" i="3"/>
  <c r="X603" i="3" s="1"/>
  <c r="V603" i="3"/>
  <c r="AF603" i="3" s="1"/>
  <c r="AH603" i="3" s="1"/>
  <c r="L603" i="3"/>
  <c r="J603" i="3"/>
  <c r="H603" i="3"/>
  <c r="AK602" i="3"/>
  <c r="AI602" i="3"/>
  <c r="AE602" i="3"/>
  <c r="W602" i="3"/>
  <c r="X602" i="3" s="1"/>
  <c r="V602" i="3"/>
  <c r="AF602" i="3" s="1"/>
  <c r="AH602" i="3" s="1"/>
  <c r="L602" i="3"/>
  <c r="J602" i="3"/>
  <c r="S602" i="3" s="1"/>
  <c r="H602" i="3"/>
  <c r="AI601" i="3"/>
  <c r="AE601" i="3"/>
  <c r="W601" i="3"/>
  <c r="X601" i="3" s="1"/>
  <c r="V601" i="3"/>
  <c r="AF601" i="3" s="1"/>
  <c r="AH601" i="3" s="1"/>
  <c r="L601" i="3"/>
  <c r="H601" i="3"/>
  <c r="AI600" i="3"/>
  <c r="AE600" i="3"/>
  <c r="V600" i="3"/>
  <c r="AF600" i="3" s="1"/>
  <c r="AH600" i="3" s="1"/>
  <c r="L600" i="3"/>
  <c r="I600" i="3"/>
  <c r="T600" i="3" s="1"/>
  <c r="H600" i="3"/>
  <c r="AI599" i="3"/>
  <c r="AE599" i="3"/>
  <c r="Z599" i="3"/>
  <c r="Y599" i="3" s="1"/>
  <c r="W599" i="3"/>
  <c r="X599" i="3" s="1"/>
  <c r="AA599" i="3" s="1"/>
  <c r="V599" i="3"/>
  <c r="AF599" i="3" s="1"/>
  <c r="AH599" i="3" s="1"/>
  <c r="L599" i="3"/>
  <c r="H599" i="3"/>
  <c r="AI598" i="3"/>
  <c r="AF598" i="3"/>
  <c r="AH598" i="3" s="1"/>
  <c r="AE598" i="3"/>
  <c r="Z598" i="3"/>
  <c r="Y598" i="3" s="1"/>
  <c r="W598" i="3"/>
  <c r="X598" i="3" s="1"/>
  <c r="AA598" i="3" s="1"/>
  <c r="V598" i="3"/>
  <c r="L598" i="3"/>
  <c r="H598" i="3"/>
  <c r="AI597" i="3"/>
  <c r="AF597" i="3"/>
  <c r="AH597" i="3" s="1"/>
  <c r="AE597" i="3"/>
  <c r="Z597" i="3"/>
  <c r="Y597" i="3"/>
  <c r="W597" i="3"/>
  <c r="X597" i="3" s="1"/>
  <c r="AA597" i="3" s="1"/>
  <c r="V597" i="3"/>
  <c r="L597" i="3"/>
  <c r="H597" i="3"/>
  <c r="AI596" i="3"/>
  <c r="AF596" i="3"/>
  <c r="AH596" i="3" s="1"/>
  <c r="AE596" i="3"/>
  <c r="Z596" i="3"/>
  <c r="Y596" i="3"/>
  <c r="W596" i="3"/>
  <c r="X596" i="3" s="1"/>
  <c r="AA596" i="3" s="1"/>
  <c r="V596" i="3"/>
  <c r="L596" i="3"/>
  <c r="H596" i="3"/>
  <c r="AI595" i="3"/>
  <c r="AF595" i="3"/>
  <c r="AH595" i="3" s="1"/>
  <c r="AE595" i="3"/>
  <c r="Z595" i="3"/>
  <c r="Y595" i="3" s="1"/>
  <c r="W595" i="3"/>
  <c r="X595" i="3" s="1"/>
  <c r="AA595" i="3" s="1"/>
  <c r="V595" i="3"/>
  <c r="L595" i="3"/>
  <c r="H595" i="3"/>
  <c r="Y594" i="3"/>
  <c r="J594" i="3"/>
  <c r="I694" i="3" s="1"/>
  <c r="P694" i="3" s="1"/>
  <c r="I594" i="3"/>
  <c r="X590" i="3"/>
  <c r="AE584" i="3"/>
  <c r="V584" i="3"/>
  <c r="R584" i="3"/>
  <c r="AH583" i="3"/>
  <c r="AF583" i="3"/>
  <c r="W583" i="3"/>
  <c r="X583" i="3" s="1"/>
  <c r="V583" i="3"/>
  <c r="R583" i="3"/>
  <c r="N583" i="3"/>
  <c r="M583" i="3"/>
  <c r="Y582" i="3"/>
  <c r="I582" i="3"/>
  <c r="AJ578" i="3"/>
  <c r="AE578" i="3"/>
  <c r="V578" i="3"/>
  <c r="AF578" i="3" s="1"/>
  <c r="AH578" i="3" s="1"/>
  <c r="R578" i="3"/>
  <c r="J578" i="3"/>
  <c r="S578" i="3" s="1"/>
  <c r="I578" i="3"/>
  <c r="T578" i="3" s="1"/>
  <c r="H578" i="3"/>
  <c r="AJ577" i="3"/>
  <c r="Z577" i="3"/>
  <c r="Y577" i="3" s="1"/>
  <c r="V577" i="3"/>
  <c r="W577" i="3" s="1"/>
  <c r="X577" i="3" s="1"/>
  <c r="AA577" i="3" s="1"/>
  <c r="R577" i="3"/>
  <c r="P577" i="3"/>
  <c r="N577" i="3"/>
  <c r="AE577" i="3" s="1"/>
  <c r="M577" i="3"/>
  <c r="J577" i="3"/>
  <c r="I577" i="3"/>
  <c r="T577" i="3" s="1"/>
  <c r="H577" i="3"/>
  <c r="Y576" i="3"/>
  <c r="J576" i="3"/>
  <c r="I576" i="3"/>
  <c r="AE564" i="3"/>
  <c r="AA564" i="3"/>
  <c r="W564" i="3"/>
  <c r="X564" i="3" s="1"/>
  <c r="Z564" i="3" s="1"/>
  <c r="Y564" i="3" s="1"/>
  <c r="AB564" i="3" s="1"/>
  <c r="V564" i="3"/>
  <c r="AF564" i="3" s="1"/>
  <c r="AH564" i="3" s="1"/>
  <c r="R564" i="3"/>
  <c r="I564" i="3"/>
  <c r="T564" i="3" s="1"/>
  <c r="AF563" i="3"/>
  <c r="AH563" i="3" s="1"/>
  <c r="AE563" i="3"/>
  <c r="V563" i="3"/>
  <c r="W563" i="3" s="1"/>
  <c r="X563" i="3" s="1"/>
  <c r="AA563" i="3" s="1"/>
  <c r="R563" i="3"/>
  <c r="AF562" i="3"/>
  <c r="AH562" i="3" s="1"/>
  <c r="AE562" i="3"/>
  <c r="X562" i="3"/>
  <c r="W562" i="3"/>
  <c r="V562" i="3"/>
  <c r="R562" i="3"/>
  <c r="N562" i="3"/>
  <c r="AD562" i="3" s="1"/>
  <c r="M562" i="3"/>
  <c r="AE561" i="3"/>
  <c r="W561" i="3"/>
  <c r="V561" i="3"/>
  <c r="AF561" i="3" s="1"/>
  <c r="AH561" i="3" s="1"/>
  <c r="R561" i="3"/>
  <c r="N561" i="3"/>
  <c r="M561" i="3"/>
  <c r="Y560" i="3"/>
  <c r="I560" i="3"/>
  <c r="AJ556" i="3"/>
  <c r="AE556" i="3"/>
  <c r="X556" i="3"/>
  <c r="V556" i="3"/>
  <c r="W556" i="3" s="1"/>
  <c r="AD556" i="3" s="1"/>
  <c r="R556" i="3"/>
  <c r="N556" i="3"/>
  <c r="M556" i="3"/>
  <c r="J556" i="3"/>
  <c r="S556" i="3" s="1"/>
  <c r="H556" i="3"/>
  <c r="AJ555" i="3"/>
  <c r="AE555" i="3"/>
  <c r="V555" i="3"/>
  <c r="R555" i="3"/>
  <c r="N555" i="3"/>
  <c r="M555" i="3"/>
  <c r="I555" i="3"/>
  <c r="P555" i="3" s="1"/>
  <c r="H555" i="3"/>
  <c r="AJ554" i="3"/>
  <c r="AF554" i="3"/>
  <c r="AH554" i="3" s="1"/>
  <c r="Z554" i="3"/>
  <c r="Y554" i="3" s="1"/>
  <c r="AB554" i="3" s="1"/>
  <c r="V554" i="3"/>
  <c r="W554" i="3" s="1"/>
  <c r="X554" i="3" s="1"/>
  <c r="AA554" i="3" s="1"/>
  <c r="T554" i="3"/>
  <c r="R554" i="3"/>
  <c r="N554" i="3"/>
  <c r="M554" i="3"/>
  <c r="I554" i="3"/>
  <c r="H554" i="3"/>
  <c r="Y553" i="3"/>
  <c r="J553" i="3"/>
  <c r="J555" i="3" s="1"/>
  <c r="I553" i="3"/>
  <c r="AJ541" i="3"/>
  <c r="AE541" i="3"/>
  <c r="AD541" i="3"/>
  <c r="W541" i="3"/>
  <c r="X541" i="3" s="1"/>
  <c r="V541" i="3"/>
  <c r="AF541" i="3" s="1"/>
  <c r="AH541" i="3" s="1"/>
  <c r="R541" i="3"/>
  <c r="N541" i="3"/>
  <c r="M541" i="3"/>
  <c r="J541" i="3"/>
  <c r="S541" i="3" s="1"/>
  <c r="H541" i="3"/>
  <c r="I541" i="3" s="1"/>
  <c r="T541" i="3" s="1"/>
  <c r="Y540" i="3"/>
  <c r="J540" i="3"/>
  <c r="I540" i="3"/>
  <c r="AE534" i="3"/>
  <c r="V534" i="3"/>
  <c r="T534" i="3"/>
  <c r="R534" i="3"/>
  <c r="I534" i="3"/>
  <c r="AE533" i="3"/>
  <c r="V533" i="3"/>
  <c r="W533" i="3" s="1"/>
  <c r="X533" i="3" s="1"/>
  <c r="AA533" i="3" s="1"/>
  <c r="R533" i="3"/>
  <c r="I533" i="3"/>
  <c r="Y532" i="3"/>
  <c r="I532" i="3"/>
  <c r="AJ527" i="3"/>
  <c r="AE527" i="3"/>
  <c r="V527" i="3"/>
  <c r="AF527" i="3" s="1"/>
  <c r="AH527" i="3" s="1"/>
  <c r="R527" i="3"/>
  <c r="N527" i="3"/>
  <c r="M527" i="3"/>
  <c r="H527" i="3"/>
  <c r="Y526" i="3"/>
  <c r="J526" i="3"/>
  <c r="J527" i="3" s="1"/>
  <c r="I526" i="3"/>
  <c r="X521" i="3"/>
  <c r="AF512" i="3"/>
  <c r="AH512" i="3" s="1"/>
  <c r="W512" i="3"/>
  <c r="X512" i="3" s="1"/>
  <c r="V512" i="3"/>
  <c r="R512" i="3"/>
  <c r="H512" i="3"/>
  <c r="AJ511" i="3"/>
  <c r="AH511" i="3"/>
  <c r="AE511" i="3"/>
  <c r="W511" i="3"/>
  <c r="V511" i="3"/>
  <c r="AF511" i="3" s="1"/>
  <c r="R511" i="3"/>
  <c r="N511" i="3"/>
  <c r="M511" i="3"/>
  <c r="H511" i="3"/>
  <c r="AJ510" i="3"/>
  <c r="AF510" i="3"/>
  <c r="AH510" i="3" s="1"/>
  <c r="X510" i="3"/>
  <c r="V510" i="3"/>
  <c r="W510" i="3" s="1"/>
  <c r="R510" i="3"/>
  <c r="N510" i="3"/>
  <c r="M510" i="3"/>
  <c r="H510" i="3"/>
  <c r="Y509" i="3"/>
  <c r="J509" i="3"/>
  <c r="I509" i="3"/>
  <c r="AJ505" i="3"/>
  <c r="AF505" i="3"/>
  <c r="AH505" i="3" s="1"/>
  <c r="V505" i="3"/>
  <c r="W505" i="3" s="1"/>
  <c r="X505" i="3" s="1"/>
  <c r="Z505" i="3" s="1"/>
  <c r="Y505" i="3" s="1"/>
  <c r="AB505" i="3" s="1"/>
  <c r="R505" i="3"/>
  <c r="N505" i="3"/>
  <c r="M505" i="3"/>
  <c r="H505" i="3"/>
  <c r="AJ504" i="3"/>
  <c r="AJ506" i="3" s="1"/>
  <c r="AE504" i="3"/>
  <c r="W504" i="3"/>
  <c r="V504" i="3"/>
  <c r="AF504" i="3" s="1"/>
  <c r="AH504" i="3" s="1"/>
  <c r="AH514" i="3" s="1"/>
  <c r="U15" i="3" s="1"/>
  <c r="W15" i="3" s="1"/>
  <c r="R504" i="3"/>
  <c r="N504" i="3"/>
  <c r="M504" i="3"/>
  <c r="H504" i="3"/>
  <c r="Y503" i="3"/>
  <c r="J503" i="3"/>
  <c r="I503" i="3"/>
  <c r="X499" i="3"/>
  <c r="AJ489" i="3"/>
  <c r="AE489" i="3"/>
  <c r="AD489" i="3"/>
  <c r="X489" i="3"/>
  <c r="W489" i="3"/>
  <c r="V489" i="3"/>
  <c r="AF489" i="3" s="1"/>
  <c r="AH489" i="3" s="1"/>
  <c r="R489" i="3"/>
  <c r="N489" i="3"/>
  <c r="M489" i="3"/>
  <c r="J489" i="3"/>
  <c r="S489" i="3" s="1"/>
  <c r="S491" i="3" s="1"/>
  <c r="H489" i="3"/>
  <c r="Y488" i="3"/>
  <c r="J488" i="3"/>
  <c r="I488" i="3"/>
  <c r="X484" i="3"/>
  <c r="AE467" i="3"/>
  <c r="W467" i="3"/>
  <c r="X467" i="3" s="1"/>
  <c r="V467" i="3"/>
  <c r="AF467" i="3" s="1"/>
  <c r="AH467" i="3" s="1"/>
  <c r="R467" i="3"/>
  <c r="AF466" i="3"/>
  <c r="AH466" i="3" s="1"/>
  <c r="AE466" i="3"/>
  <c r="X466" i="3"/>
  <c r="W466" i="3"/>
  <c r="V466" i="3"/>
  <c r="R466" i="3"/>
  <c r="Y465" i="3"/>
  <c r="I465" i="3"/>
  <c r="I467" i="3" s="1"/>
  <c r="T467" i="3" s="1"/>
  <c r="AJ461" i="3"/>
  <c r="AE461" i="3"/>
  <c r="V461" i="3"/>
  <c r="R461" i="3"/>
  <c r="N461" i="3"/>
  <c r="M461" i="3"/>
  <c r="I461" i="3"/>
  <c r="H461" i="3"/>
  <c r="AJ460" i="3"/>
  <c r="AF460" i="3"/>
  <c r="AH460" i="3" s="1"/>
  <c r="V460" i="3"/>
  <c r="W460" i="3" s="1"/>
  <c r="X460" i="3" s="1"/>
  <c r="R460" i="3"/>
  <c r="N460" i="3"/>
  <c r="AE460" i="3" s="1"/>
  <c r="M460" i="3"/>
  <c r="I460" i="3"/>
  <c r="P460" i="3" s="1"/>
  <c r="H460" i="3"/>
  <c r="Y459" i="3"/>
  <c r="J459" i="3"/>
  <c r="I459" i="3"/>
  <c r="AJ456" i="3"/>
  <c r="AF456" i="3"/>
  <c r="AH456" i="3" s="1"/>
  <c r="W456" i="3"/>
  <c r="X456" i="3" s="1"/>
  <c r="Z456" i="3" s="1"/>
  <c r="Y456" i="3" s="1"/>
  <c r="V456" i="3"/>
  <c r="R456" i="3"/>
  <c r="O456" i="3"/>
  <c r="N456" i="3"/>
  <c r="M456" i="3"/>
  <c r="H456" i="3"/>
  <c r="I456" i="3" s="1"/>
  <c r="T456" i="3" s="1"/>
  <c r="AJ455" i="3"/>
  <c r="AE455" i="3"/>
  <c r="AD455" i="3"/>
  <c r="X455" i="3"/>
  <c r="V455" i="3"/>
  <c r="W455" i="3" s="1"/>
  <c r="R455" i="3"/>
  <c r="N455" i="3"/>
  <c r="M455" i="3"/>
  <c r="J455" i="3"/>
  <c r="H455" i="3"/>
  <c r="Y454" i="3"/>
  <c r="J454" i="3"/>
  <c r="J456" i="3" s="1"/>
  <c r="S456" i="3" s="1"/>
  <c r="I454" i="3"/>
  <c r="X450" i="3"/>
  <c r="AF438" i="3"/>
  <c r="AH438" i="3" s="1"/>
  <c r="AE438" i="3"/>
  <c r="W438" i="3"/>
  <c r="X438" i="3" s="1"/>
  <c r="V438" i="3"/>
  <c r="R438" i="3"/>
  <c r="I438" i="3"/>
  <c r="Y437" i="3"/>
  <c r="I437" i="3"/>
  <c r="AF432" i="3"/>
  <c r="AH432" i="3" s="1"/>
  <c r="V432" i="3"/>
  <c r="W432" i="3" s="1"/>
  <c r="X432" i="3" s="1"/>
  <c r="AA432" i="3" s="1"/>
  <c r="T432" i="3"/>
  <c r="R432" i="3"/>
  <c r="N432" i="3"/>
  <c r="M432" i="3"/>
  <c r="Y431" i="3"/>
  <c r="I431" i="3"/>
  <c r="I432" i="3" s="1"/>
  <c r="S432" i="3" s="1"/>
  <c r="AJ427" i="3"/>
  <c r="AF427" i="3"/>
  <c r="AH427" i="3" s="1"/>
  <c r="V427" i="3"/>
  <c r="W427" i="3" s="1"/>
  <c r="X427" i="3" s="1"/>
  <c r="Z427" i="3" s="1"/>
  <c r="Y427" i="3" s="1"/>
  <c r="AB427" i="3" s="1"/>
  <c r="R427" i="3"/>
  <c r="N427" i="3"/>
  <c r="M427" i="3"/>
  <c r="H427" i="3"/>
  <c r="AJ426" i="3"/>
  <c r="AE426" i="3"/>
  <c r="W426" i="3"/>
  <c r="V426" i="3"/>
  <c r="AF426" i="3" s="1"/>
  <c r="AH426" i="3" s="1"/>
  <c r="R426" i="3"/>
  <c r="N426" i="3"/>
  <c r="M426" i="3"/>
  <c r="J426" i="3"/>
  <c r="H426" i="3"/>
  <c r="Y425" i="3"/>
  <c r="J425" i="3"/>
  <c r="I425" i="3"/>
  <c r="AJ422" i="3"/>
  <c r="AF422" i="3"/>
  <c r="AH422" i="3" s="1"/>
  <c r="V422" i="3"/>
  <c r="W422" i="3" s="1"/>
  <c r="X422" i="3" s="1"/>
  <c r="R422" i="3"/>
  <c r="N422" i="3"/>
  <c r="AE422" i="3" s="1"/>
  <c r="M422" i="3"/>
  <c r="H422" i="3"/>
  <c r="AJ421" i="3"/>
  <c r="AF421" i="3"/>
  <c r="AH421" i="3" s="1"/>
  <c r="W421" i="3"/>
  <c r="X421" i="3" s="1"/>
  <c r="Z421" i="3" s="1"/>
  <c r="Y421" i="3" s="1"/>
  <c r="V421" i="3"/>
  <c r="R421" i="3"/>
  <c r="N421" i="3"/>
  <c r="M421" i="3"/>
  <c r="H421" i="3"/>
  <c r="Y420" i="3"/>
  <c r="J420" i="3"/>
  <c r="I420" i="3"/>
  <c r="AJ417" i="3"/>
  <c r="AE417" i="3"/>
  <c r="AD417" i="3"/>
  <c r="V417" i="3"/>
  <c r="W417" i="3" s="1"/>
  <c r="X417" i="3" s="1"/>
  <c r="R417" i="3"/>
  <c r="N417" i="3"/>
  <c r="M417" i="3"/>
  <c r="H417" i="3"/>
  <c r="AJ416" i="3"/>
  <c r="AE416" i="3"/>
  <c r="V416" i="3"/>
  <c r="AF416" i="3" s="1"/>
  <c r="AH416" i="3" s="1"/>
  <c r="N416" i="3"/>
  <c r="M416" i="3"/>
  <c r="H416" i="3"/>
  <c r="Y415" i="3"/>
  <c r="J415" i="3"/>
  <c r="I415" i="3"/>
  <c r="Q413" i="3"/>
  <c r="Q412" i="3"/>
  <c r="R416" i="3" s="1"/>
  <c r="AJ410" i="3"/>
  <c r="V410" i="3"/>
  <c r="R410" i="3"/>
  <c r="N410" i="3"/>
  <c r="M410" i="3"/>
  <c r="H410" i="3"/>
  <c r="AJ409" i="3"/>
  <c r="AE409" i="3"/>
  <c r="W409" i="3"/>
  <c r="V409" i="3"/>
  <c r="AF409" i="3" s="1"/>
  <c r="AH409" i="3" s="1"/>
  <c r="N409" i="3"/>
  <c r="M409" i="3"/>
  <c r="H409" i="3"/>
  <c r="Y408" i="3"/>
  <c r="J408" i="3"/>
  <c r="I408" i="3"/>
  <c r="Q405" i="3"/>
  <c r="X404" i="3"/>
  <c r="Q404" i="3"/>
  <c r="R409" i="3" s="1"/>
  <c r="AI391" i="3"/>
  <c r="AA391" i="3"/>
  <c r="V391" i="3"/>
  <c r="W391" i="3" s="1"/>
  <c r="X391" i="3" s="1"/>
  <c r="Z391" i="3" s="1"/>
  <c r="Q391" i="3"/>
  <c r="M391" i="3"/>
  <c r="L391" i="3"/>
  <c r="H391" i="3"/>
  <c r="AI390" i="3"/>
  <c r="V390" i="3"/>
  <c r="AF390" i="3" s="1"/>
  <c r="AH390" i="3" s="1"/>
  <c r="Q390" i="3"/>
  <c r="L390" i="3"/>
  <c r="I390" i="3"/>
  <c r="H390" i="3"/>
  <c r="AI389" i="3"/>
  <c r="AH389" i="3"/>
  <c r="AF389" i="3"/>
  <c r="W389" i="3"/>
  <c r="X389" i="3" s="1"/>
  <c r="V389" i="3"/>
  <c r="Q389" i="3"/>
  <c r="M389" i="3"/>
  <c r="L389" i="3"/>
  <c r="H389" i="3"/>
  <c r="I389" i="3" s="1"/>
  <c r="T389" i="3" s="1"/>
  <c r="AI388" i="3"/>
  <c r="V388" i="3"/>
  <c r="W388" i="3" s="1"/>
  <c r="X388" i="3" s="1"/>
  <c r="Q388" i="3"/>
  <c r="L388" i="3"/>
  <c r="M382" i="3" s="1"/>
  <c r="I388" i="3"/>
  <c r="H388" i="3"/>
  <c r="I387" i="3"/>
  <c r="I391" i="3" s="1"/>
  <c r="T391" i="3" s="1"/>
  <c r="G387" i="3"/>
  <c r="G391" i="3" s="1"/>
  <c r="R391" i="3" s="1"/>
  <c r="AJ370" i="3"/>
  <c r="AE370" i="3"/>
  <c r="V370" i="3"/>
  <c r="AF370" i="3" s="1"/>
  <c r="AH370" i="3" s="1"/>
  <c r="T370" i="3"/>
  <c r="R370" i="3"/>
  <c r="J370" i="3"/>
  <c r="S370" i="3" s="1"/>
  <c r="I370" i="3"/>
  <c r="H370" i="3"/>
  <c r="J369" i="3"/>
  <c r="I369" i="3"/>
  <c r="AJ362" i="3"/>
  <c r="AE362" i="3"/>
  <c r="V362" i="3"/>
  <c r="R362" i="3"/>
  <c r="J362" i="3"/>
  <c r="S362" i="3" s="1"/>
  <c r="I362" i="3"/>
  <c r="T362" i="3" s="1"/>
  <c r="H362" i="3"/>
  <c r="J361" i="3"/>
  <c r="I361" i="3"/>
  <c r="AJ349" i="3"/>
  <c r="AF349" i="3"/>
  <c r="AH349" i="3" s="1"/>
  <c r="AE349" i="3"/>
  <c r="W349" i="3"/>
  <c r="X349" i="3" s="1"/>
  <c r="V349" i="3"/>
  <c r="R349" i="3"/>
  <c r="J349" i="3"/>
  <c r="S349" i="3" s="1"/>
  <c r="H349" i="3"/>
  <c r="J348" i="3"/>
  <c r="I348" i="3"/>
  <c r="AJ341" i="3"/>
  <c r="AF341" i="3"/>
  <c r="AH341" i="3" s="1"/>
  <c r="AE341" i="3"/>
  <c r="V341" i="3"/>
  <c r="W341" i="3" s="1"/>
  <c r="X341" i="3" s="1"/>
  <c r="R341" i="3"/>
  <c r="T341" i="3" s="1"/>
  <c r="I341" i="3"/>
  <c r="H341" i="3"/>
  <c r="J340" i="3"/>
  <c r="I349" i="3" s="1"/>
  <c r="T349" i="3" s="1"/>
  <c r="I340" i="3"/>
  <c r="M330" i="3"/>
  <c r="AJ329" i="3"/>
  <c r="AF329" i="3"/>
  <c r="AH329" i="3" s="1"/>
  <c r="AA329" i="3"/>
  <c r="V329" i="3"/>
  <c r="W329" i="3" s="1"/>
  <c r="X329" i="3" s="1"/>
  <c r="Z329" i="3" s="1"/>
  <c r="R329" i="3"/>
  <c r="N329" i="3"/>
  <c r="M329" i="3"/>
  <c r="H329" i="3"/>
  <c r="AJ328" i="3"/>
  <c r="AE328" i="3"/>
  <c r="W328" i="3"/>
  <c r="V328" i="3"/>
  <c r="AF328" i="3" s="1"/>
  <c r="AH328" i="3" s="1"/>
  <c r="R328" i="3"/>
  <c r="P328" i="3"/>
  <c r="M328" i="3"/>
  <c r="I328" i="3"/>
  <c r="T328" i="3" s="1"/>
  <c r="H328" i="3"/>
  <c r="AJ327" i="3"/>
  <c r="AF327" i="3"/>
  <c r="AH327" i="3" s="1"/>
  <c r="AE327" i="3"/>
  <c r="W327" i="3"/>
  <c r="AD327" i="3" s="1"/>
  <c r="V327" i="3"/>
  <c r="R327" i="3"/>
  <c r="M327" i="3"/>
  <c r="H327" i="3"/>
  <c r="J326" i="3"/>
  <c r="I326" i="3"/>
  <c r="AJ321" i="3"/>
  <c r="AE321" i="3"/>
  <c r="W321" i="3"/>
  <c r="V321" i="3"/>
  <c r="AF321" i="3" s="1"/>
  <c r="AH321" i="3" s="1"/>
  <c r="R321" i="3"/>
  <c r="N321" i="3"/>
  <c r="M321" i="3"/>
  <c r="J321" i="3"/>
  <c r="H321" i="3"/>
  <c r="AJ320" i="3"/>
  <c r="V320" i="3"/>
  <c r="R320" i="3"/>
  <c r="N320" i="3"/>
  <c r="AE320" i="3" s="1"/>
  <c r="M320" i="3"/>
  <c r="J320" i="3"/>
  <c r="S320" i="3" s="1"/>
  <c r="H320" i="3"/>
  <c r="I320" i="3" s="1"/>
  <c r="T320" i="3" s="1"/>
  <c r="J319" i="3"/>
  <c r="I319" i="3"/>
  <c r="AJ315" i="3"/>
  <c r="AF315" i="3"/>
  <c r="AH315" i="3" s="1"/>
  <c r="W315" i="3"/>
  <c r="X315" i="3" s="1"/>
  <c r="V315" i="3"/>
  <c r="R315" i="3"/>
  <c r="N315" i="3"/>
  <c r="M315" i="3"/>
  <c r="H315" i="3"/>
  <c r="I315" i="3" s="1"/>
  <c r="T315" i="3" s="1"/>
  <c r="AJ314" i="3"/>
  <c r="AJ316" i="3" s="1"/>
  <c r="AE314" i="3"/>
  <c r="AD314" i="3"/>
  <c r="X314" i="3"/>
  <c r="V314" i="3"/>
  <c r="W314" i="3" s="1"/>
  <c r="R314" i="3"/>
  <c r="N314" i="3"/>
  <c r="M314" i="3"/>
  <c r="J314" i="3"/>
  <c r="H314" i="3"/>
  <c r="J313" i="3"/>
  <c r="I313" i="3"/>
  <c r="AJ305" i="3"/>
  <c r="AF305" i="3"/>
  <c r="AH305" i="3" s="1"/>
  <c r="AE305" i="3"/>
  <c r="W305" i="3"/>
  <c r="X305" i="3" s="1"/>
  <c r="V305" i="3"/>
  <c r="R305" i="3"/>
  <c r="J305" i="3"/>
  <c r="H305" i="3"/>
  <c r="AJ304" i="3"/>
  <c r="AH304" i="3"/>
  <c r="AE304" i="3"/>
  <c r="X304" i="3"/>
  <c r="W304" i="3"/>
  <c r="V304" i="3"/>
  <c r="AF304" i="3" s="1"/>
  <c r="T304" i="3"/>
  <c r="R304" i="3"/>
  <c r="H304" i="3"/>
  <c r="I304" i="3" s="1"/>
  <c r="AJ303" i="3"/>
  <c r="AE303" i="3"/>
  <c r="AD303" i="3"/>
  <c r="X303" i="3"/>
  <c r="W303" i="3"/>
  <c r="V303" i="3"/>
  <c r="AF303" i="3" s="1"/>
  <c r="AH303" i="3" s="1"/>
  <c r="R303" i="3"/>
  <c r="N303" i="3"/>
  <c r="M303" i="3"/>
  <c r="J303" i="3"/>
  <c r="S303" i="3" s="1"/>
  <c r="H303" i="3"/>
  <c r="I303" i="3" s="1"/>
  <c r="T303" i="3" s="1"/>
  <c r="J302" i="3"/>
  <c r="I302" i="3"/>
  <c r="AJ298" i="3"/>
  <c r="AH298" i="3"/>
  <c r="AF298" i="3"/>
  <c r="W298" i="3"/>
  <c r="X298" i="3" s="1"/>
  <c r="V298" i="3"/>
  <c r="N298" i="3"/>
  <c r="M298" i="3"/>
  <c r="I298" i="3"/>
  <c r="H298" i="3"/>
  <c r="AJ297" i="3"/>
  <c r="AE297" i="3"/>
  <c r="AA297" i="3"/>
  <c r="Z297" i="3"/>
  <c r="V297" i="3"/>
  <c r="W297" i="3" s="1"/>
  <c r="X297" i="3" s="1"/>
  <c r="N297" i="3"/>
  <c r="M297" i="3"/>
  <c r="H297" i="3"/>
  <c r="AJ296" i="3"/>
  <c r="AE296" i="3"/>
  <c r="V296" i="3"/>
  <c r="AF296" i="3" s="1"/>
  <c r="AH296" i="3" s="1"/>
  <c r="O296" i="3"/>
  <c r="N296" i="3"/>
  <c r="M296" i="3"/>
  <c r="J296" i="3"/>
  <c r="I296" i="3"/>
  <c r="H296" i="3"/>
  <c r="AJ295" i="3"/>
  <c r="AF295" i="3"/>
  <c r="AH295" i="3" s="1"/>
  <c r="Z295" i="3"/>
  <c r="V295" i="3"/>
  <c r="W295" i="3" s="1"/>
  <c r="X295" i="3" s="1"/>
  <c r="AA295" i="3" s="1"/>
  <c r="T295" i="3"/>
  <c r="N295" i="3"/>
  <c r="M295" i="3"/>
  <c r="I295" i="3"/>
  <c r="H295" i="3"/>
  <c r="AJ294" i="3"/>
  <c r="AF294" i="3"/>
  <c r="AH294" i="3" s="1"/>
  <c r="AE294" i="3"/>
  <c r="AA294" i="3"/>
  <c r="W294" i="3"/>
  <c r="X294" i="3" s="1"/>
  <c r="Z294" i="3" s="1"/>
  <c r="V294" i="3"/>
  <c r="N294" i="3"/>
  <c r="M294" i="3"/>
  <c r="H294" i="3"/>
  <c r="I294" i="3" s="1"/>
  <c r="T294" i="3" s="1"/>
  <c r="AJ293" i="3"/>
  <c r="AE293" i="3"/>
  <c r="AD293" i="3"/>
  <c r="X293" i="3"/>
  <c r="W293" i="3"/>
  <c r="V293" i="3"/>
  <c r="AF293" i="3" s="1"/>
  <c r="AH293" i="3" s="1"/>
  <c r="R293" i="3"/>
  <c r="N293" i="3"/>
  <c r="M293" i="3"/>
  <c r="M299" i="3" s="1"/>
  <c r="J293" i="3"/>
  <c r="S293" i="3" s="1"/>
  <c r="H293" i="3"/>
  <c r="I293" i="3" s="1"/>
  <c r="T293" i="3" s="1"/>
  <c r="J292" i="3"/>
  <c r="I292" i="3"/>
  <c r="Q289" i="3"/>
  <c r="R298" i="3" s="1"/>
  <c r="Q288" i="3"/>
  <c r="R297" i="3" s="1"/>
  <c r="Q287" i="3"/>
  <c r="R296" i="3" s="1"/>
  <c r="Q286" i="3"/>
  <c r="R295" i="3" s="1"/>
  <c r="Q285" i="3"/>
  <c r="R294" i="3" s="1"/>
  <c r="Q284" i="3"/>
  <c r="AJ273" i="3"/>
  <c r="AF273" i="3"/>
  <c r="AH273" i="3" s="1"/>
  <c r="AE273" i="3"/>
  <c r="V273" i="3"/>
  <c r="W273" i="3" s="1"/>
  <c r="X273" i="3" s="1"/>
  <c r="H273" i="3"/>
  <c r="AJ272" i="3"/>
  <c r="AE272" i="3"/>
  <c r="V272" i="3"/>
  <c r="R272" i="3"/>
  <c r="J272" i="3"/>
  <c r="S272" i="3" s="1"/>
  <c r="H272" i="3"/>
  <c r="AJ271" i="3"/>
  <c r="AE271" i="3"/>
  <c r="AA271" i="3"/>
  <c r="Z271" i="3"/>
  <c r="V271" i="3"/>
  <c r="W271" i="3" s="1"/>
  <c r="X271" i="3" s="1"/>
  <c r="R271" i="3"/>
  <c r="H271" i="3"/>
  <c r="I271" i="3" s="1"/>
  <c r="T271" i="3" s="1"/>
  <c r="AJ270" i="3"/>
  <c r="AE270" i="3"/>
  <c r="W270" i="3"/>
  <c r="V270" i="3"/>
  <c r="AF270" i="3" s="1"/>
  <c r="AH270" i="3" s="1"/>
  <c r="R270" i="3"/>
  <c r="N270" i="3"/>
  <c r="M270" i="3"/>
  <c r="J270" i="3"/>
  <c r="H270" i="3"/>
  <c r="AJ269" i="3"/>
  <c r="V269" i="3"/>
  <c r="N269" i="3"/>
  <c r="AE269" i="3" s="1"/>
  <c r="M269" i="3"/>
  <c r="J269" i="3"/>
  <c r="H269" i="3"/>
  <c r="AJ268" i="3"/>
  <c r="AH268" i="3"/>
  <c r="AF268" i="3"/>
  <c r="W268" i="3"/>
  <c r="X268" i="3" s="1"/>
  <c r="Z268" i="3" s="1"/>
  <c r="V268" i="3"/>
  <c r="R268" i="3"/>
  <c r="N268" i="3"/>
  <c r="M268" i="3"/>
  <c r="I268" i="3"/>
  <c r="T268" i="3" s="1"/>
  <c r="H268" i="3"/>
  <c r="J267" i="3"/>
  <c r="I267" i="3"/>
  <c r="Q265" i="3"/>
  <c r="R273" i="3" s="1"/>
  <c r="Q264" i="3"/>
  <c r="Q263" i="3"/>
  <c r="Q262" i="3"/>
  <c r="Q261" i="3"/>
  <c r="R269" i="3" s="1"/>
  <c r="Q260" i="3"/>
  <c r="M254" i="3"/>
  <c r="AJ253" i="3"/>
  <c r="AE253" i="3"/>
  <c r="W253" i="3"/>
  <c r="V253" i="3"/>
  <c r="AF253" i="3" s="1"/>
  <c r="AH253" i="3" s="1"/>
  <c r="R253" i="3"/>
  <c r="N253" i="3"/>
  <c r="M253" i="3"/>
  <c r="J253" i="3"/>
  <c r="S253" i="3" s="1"/>
  <c r="H253" i="3"/>
  <c r="AJ252" i="3"/>
  <c r="AE252" i="3"/>
  <c r="V252" i="3"/>
  <c r="AF252" i="3" s="1"/>
  <c r="AH252" i="3" s="1"/>
  <c r="R252" i="3"/>
  <c r="N252" i="3"/>
  <c r="M252" i="3"/>
  <c r="H252" i="3"/>
  <c r="AJ251" i="3"/>
  <c r="AF251" i="3"/>
  <c r="AH251" i="3" s="1"/>
  <c r="AD251" i="3"/>
  <c r="X251" i="3"/>
  <c r="V251" i="3"/>
  <c r="W251" i="3" s="1"/>
  <c r="N251" i="3"/>
  <c r="AE251" i="3" s="1"/>
  <c r="M251" i="3"/>
  <c r="J251" i="3"/>
  <c r="S251" i="3" s="1"/>
  <c r="H251" i="3"/>
  <c r="AJ250" i="3"/>
  <c r="AH250" i="3"/>
  <c r="AF250" i="3"/>
  <c r="W250" i="3"/>
  <c r="X250" i="3" s="1"/>
  <c r="V250" i="3"/>
  <c r="N250" i="3"/>
  <c r="M250" i="3"/>
  <c r="I250" i="3"/>
  <c r="T250" i="3" s="1"/>
  <c r="H250" i="3"/>
  <c r="AJ249" i="3"/>
  <c r="AE249" i="3"/>
  <c r="AA249" i="3"/>
  <c r="Z249" i="3"/>
  <c r="V249" i="3"/>
  <c r="W249" i="3" s="1"/>
  <c r="X249" i="3" s="1"/>
  <c r="R249" i="3"/>
  <c r="N249" i="3"/>
  <c r="M249" i="3"/>
  <c r="H249" i="3"/>
  <c r="AJ248" i="3"/>
  <c r="AH248" i="3"/>
  <c r="AE248" i="3"/>
  <c r="W248" i="3"/>
  <c r="V248" i="3"/>
  <c r="AF248" i="3" s="1"/>
  <c r="P248" i="3"/>
  <c r="N248" i="3"/>
  <c r="M248" i="3"/>
  <c r="J248" i="3"/>
  <c r="I248" i="3"/>
  <c r="H248" i="3"/>
  <c r="J247" i="3"/>
  <c r="I247" i="3"/>
  <c r="Q244" i="3"/>
  <c r="Q243" i="3"/>
  <c r="Q242" i="3"/>
  <c r="R251" i="3" s="1"/>
  <c r="Q241" i="3"/>
  <c r="R250" i="3" s="1"/>
  <c r="Q240" i="3"/>
  <c r="Q239" i="3"/>
  <c r="R248" i="3" s="1"/>
  <c r="AE232" i="3"/>
  <c r="AA232" i="3"/>
  <c r="Z232" i="3"/>
  <c r="V232" i="3"/>
  <c r="W232" i="3" s="1"/>
  <c r="X232" i="3" s="1"/>
  <c r="R232" i="3"/>
  <c r="N232" i="3"/>
  <c r="M232" i="3"/>
  <c r="H232" i="3"/>
  <c r="I232" i="3" s="1"/>
  <c r="T232" i="3" s="1"/>
  <c r="AH231" i="3"/>
  <c r="AE231" i="3"/>
  <c r="W231" i="3"/>
  <c r="V231" i="3"/>
  <c r="AF231" i="3" s="1"/>
  <c r="R231" i="3"/>
  <c r="O231" i="3"/>
  <c r="N231" i="3"/>
  <c r="M231" i="3"/>
  <c r="J231" i="3"/>
  <c r="S231" i="3" s="1"/>
  <c r="AK231" i="3" s="1"/>
  <c r="I231" i="3"/>
  <c r="T231" i="3" s="1"/>
  <c r="H231" i="3"/>
  <c r="V230" i="3"/>
  <c r="R230" i="3"/>
  <c r="O230" i="3"/>
  <c r="N230" i="3"/>
  <c r="AE230" i="3" s="1"/>
  <c r="M230" i="3"/>
  <c r="J230" i="3"/>
  <c r="S230" i="3" s="1"/>
  <c r="AK230" i="3" s="1"/>
  <c r="I230" i="3"/>
  <c r="H230" i="3"/>
  <c r="AJ229" i="3"/>
  <c r="AF229" i="3"/>
  <c r="AH229" i="3" s="1"/>
  <c r="AA229" i="3"/>
  <c r="W229" i="3"/>
  <c r="X229" i="3" s="1"/>
  <c r="Z229" i="3" s="1"/>
  <c r="V229" i="3"/>
  <c r="R229" i="3"/>
  <c r="S229" i="3" s="1"/>
  <c r="O229" i="3"/>
  <c r="N229" i="3"/>
  <c r="M229" i="3"/>
  <c r="H229" i="3"/>
  <c r="I229" i="3" s="1"/>
  <c r="T229" i="3" s="1"/>
  <c r="AJ228" i="3"/>
  <c r="AE228" i="3"/>
  <c r="V228" i="3"/>
  <c r="W228" i="3" s="1"/>
  <c r="R228" i="3"/>
  <c r="N228" i="3"/>
  <c r="M228" i="3"/>
  <c r="J228" i="3"/>
  <c r="S228" i="3" s="1"/>
  <c r="H228" i="3"/>
  <c r="J227" i="3"/>
  <c r="I227" i="3"/>
  <c r="AJ222" i="3"/>
  <c r="AF222" i="3"/>
  <c r="AH222" i="3" s="1"/>
  <c r="Z222" i="3"/>
  <c r="V222" i="3"/>
  <c r="W222" i="3" s="1"/>
  <c r="X222" i="3" s="1"/>
  <c r="AA222" i="3" s="1"/>
  <c r="S222" i="3"/>
  <c r="R222" i="3"/>
  <c r="O222" i="3"/>
  <c r="N222" i="3"/>
  <c r="M222" i="3"/>
  <c r="J222" i="3"/>
  <c r="I222" i="3"/>
  <c r="T222" i="3" s="1"/>
  <c r="H222" i="3"/>
  <c r="J221" i="3"/>
  <c r="I221" i="3"/>
  <c r="AJ218" i="3"/>
  <c r="W218" i="3"/>
  <c r="X218" i="3" s="1"/>
  <c r="Z218" i="3" s="1"/>
  <c r="V218" i="3"/>
  <c r="AF218" i="3" s="1"/>
  <c r="AH218" i="3" s="1"/>
  <c r="R218" i="3"/>
  <c r="N218" i="3"/>
  <c r="M218" i="3"/>
  <c r="J218" i="3"/>
  <c r="S218" i="3" s="1"/>
  <c r="H218" i="3"/>
  <c r="I218" i="3" s="1"/>
  <c r="T218" i="3" s="1"/>
  <c r="J217" i="3"/>
  <c r="I217" i="3"/>
  <c r="AJ214" i="3"/>
  <c r="AH214" i="3"/>
  <c r="AE214" i="3"/>
  <c r="AD214" i="3"/>
  <c r="W214" i="3"/>
  <c r="X214" i="3" s="1"/>
  <c r="V214" i="3"/>
  <c r="AF214" i="3" s="1"/>
  <c r="AG214" i="3" s="1"/>
  <c r="R214" i="3"/>
  <c r="N214" i="3"/>
  <c r="M214" i="3"/>
  <c r="J214" i="3"/>
  <c r="H214" i="3"/>
  <c r="J213" i="3"/>
  <c r="I213" i="3"/>
  <c r="AJ208" i="3"/>
  <c r="AF208" i="3"/>
  <c r="AH208" i="3" s="1"/>
  <c r="Z208" i="3"/>
  <c r="V208" i="3"/>
  <c r="W208" i="3" s="1"/>
  <c r="X208" i="3" s="1"/>
  <c r="AA208" i="3" s="1"/>
  <c r="T208" i="3"/>
  <c r="R208" i="3"/>
  <c r="P208" i="3"/>
  <c r="N208" i="3"/>
  <c r="AE208" i="3" s="1"/>
  <c r="M208" i="3"/>
  <c r="I208" i="3"/>
  <c r="H208" i="3"/>
  <c r="AJ207" i="3"/>
  <c r="V207" i="3"/>
  <c r="R207" i="3"/>
  <c r="N207" i="3"/>
  <c r="AE207" i="3" s="1"/>
  <c r="M207" i="3"/>
  <c r="J207" i="3"/>
  <c r="S207" i="3" s="1"/>
  <c r="H207" i="3"/>
  <c r="I207" i="3" s="1"/>
  <c r="T207" i="3" s="1"/>
  <c r="J206" i="3"/>
  <c r="I206" i="3"/>
  <c r="AJ202" i="3"/>
  <c r="AE202" i="3"/>
  <c r="AD202" i="3"/>
  <c r="X202" i="3"/>
  <c r="V202" i="3"/>
  <c r="W202" i="3" s="1"/>
  <c r="R202" i="3"/>
  <c r="N202" i="3"/>
  <c r="M202" i="3"/>
  <c r="J202" i="3"/>
  <c r="S202" i="3" s="1"/>
  <c r="H202" i="3"/>
  <c r="J201" i="3"/>
  <c r="I201" i="3"/>
  <c r="AJ197" i="3"/>
  <c r="AF197" i="3"/>
  <c r="AH197" i="3" s="1"/>
  <c r="Z197" i="3"/>
  <c r="V197" i="3"/>
  <c r="W197" i="3" s="1"/>
  <c r="X197" i="3" s="1"/>
  <c r="AA197" i="3" s="1"/>
  <c r="S197" i="3"/>
  <c r="R197" i="3"/>
  <c r="N197" i="3"/>
  <c r="AD197" i="3" s="1"/>
  <c r="M197" i="3"/>
  <c r="J197" i="3"/>
  <c r="H197" i="3"/>
  <c r="I197" i="3" s="1"/>
  <c r="T197" i="3" s="1"/>
  <c r="J196" i="3"/>
  <c r="J229" i="3" s="1"/>
  <c r="I196" i="3"/>
  <c r="AJ177" i="3"/>
  <c r="AH177" i="3"/>
  <c r="AF177" i="3"/>
  <c r="W177" i="3"/>
  <c r="X177" i="3" s="1"/>
  <c r="V177" i="3"/>
  <c r="R177" i="3"/>
  <c r="N177" i="3"/>
  <c r="M177" i="3"/>
  <c r="I177" i="3"/>
  <c r="H177" i="3"/>
  <c r="AJ176" i="3"/>
  <c r="AE176" i="3"/>
  <c r="AD176" i="3"/>
  <c r="X176" i="3"/>
  <c r="V176" i="3"/>
  <c r="W176" i="3" s="1"/>
  <c r="R176" i="3"/>
  <c r="N176" i="3"/>
  <c r="M176" i="3"/>
  <c r="J176" i="3"/>
  <c r="S176" i="3" s="1"/>
  <c r="H176" i="3"/>
  <c r="AJ175" i="3"/>
  <c r="AE175" i="3"/>
  <c r="V175" i="3"/>
  <c r="T175" i="3"/>
  <c r="N175" i="3"/>
  <c r="M175" i="3"/>
  <c r="I175" i="3"/>
  <c r="P175" i="3" s="1"/>
  <c r="H175" i="3"/>
  <c r="AJ174" i="3"/>
  <c r="AF174" i="3"/>
  <c r="AH174" i="3" s="1"/>
  <c r="V174" i="3"/>
  <c r="W174" i="3" s="1"/>
  <c r="X174" i="3" s="1"/>
  <c r="AA174" i="3" s="1"/>
  <c r="N174" i="3"/>
  <c r="M174" i="3"/>
  <c r="H174" i="3"/>
  <c r="I174" i="3" s="1"/>
  <c r="T174" i="3" s="1"/>
  <c r="AJ173" i="3"/>
  <c r="AF173" i="3"/>
  <c r="AH173" i="3" s="1"/>
  <c r="X173" i="3"/>
  <c r="W173" i="3"/>
  <c r="V173" i="3"/>
  <c r="N173" i="3"/>
  <c r="M173" i="3"/>
  <c r="H173" i="3"/>
  <c r="AJ172" i="3"/>
  <c r="W172" i="3"/>
  <c r="V172" i="3"/>
  <c r="AF172" i="3" s="1"/>
  <c r="AH172" i="3" s="1"/>
  <c r="P172" i="3"/>
  <c r="N172" i="3"/>
  <c r="M172" i="3"/>
  <c r="J172" i="3"/>
  <c r="H172" i="3"/>
  <c r="J171" i="3"/>
  <c r="I171" i="3"/>
  <c r="Q168" i="3"/>
  <c r="Q167" i="3"/>
  <c r="Q166" i="3"/>
  <c r="R175" i="3" s="1"/>
  <c r="Q165" i="3"/>
  <c r="R174" i="3" s="1"/>
  <c r="Q164" i="3"/>
  <c r="R173" i="3" s="1"/>
  <c r="Q163" i="3"/>
  <c r="R172" i="3" s="1"/>
  <c r="AJ158" i="3"/>
  <c r="AH158" i="3"/>
  <c r="W158" i="3"/>
  <c r="X158" i="3" s="1"/>
  <c r="AA158" i="3" s="1"/>
  <c r="V158" i="3"/>
  <c r="AF158" i="3" s="1"/>
  <c r="U158" i="3"/>
  <c r="S158" i="3"/>
  <c r="Q158" i="3"/>
  <c r="M158" i="3"/>
  <c r="J158" i="3"/>
  <c r="I158" i="3"/>
  <c r="T158" i="3" s="1"/>
  <c r="H158" i="3"/>
  <c r="AJ157" i="3"/>
  <c r="X157" i="3"/>
  <c r="AA157" i="3" s="1"/>
  <c r="U157" i="3"/>
  <c r="V157" i="3" s="1"/>
  <c r="W157" i="3" s="1"/>
  <c r="Q157" i="3"/>
  <c r="M157" i="3"/>
  <c r="J157" i="3"/>
  <c r="S157" i="3" s="1"/>
  <c r="H157" i="3"/>
  <c r="I157" i="3" s="1"/>
  <c r="T157" i="3" s="1"/>
  <c r="AJ156" i="3"/>
  <c r="Z156" i="3"/>
  <c r="Y156" i="3" s="1"/>
  <c r="AB156" i="3" s="1"/>
  <c r="W156" i="3"/>
  <c r="X156" i="3" s="1"/>
  <c r="AA156" i="3" s="1"/>
  <c r="V156" i="3"/>
  <c r="AF156" i="3" s="1"/>
  <c r="AH156" i="3" s="1"/>
  <c r="U156" i="3"/>
  <c r="Q156" i="3"/>
  <c r="M156" i="3"/>
  <c r="I156" i="3"/>
  <c r="T156" i="3" s="1"/>
  <c r="H156" i="3"/>
  <c r="AJ155" i="3"/>
  <c r="X155" i="3"/>
  <c r="AA155" i="3" s="1"/>
  <c r="U155" i="3"/>
  <c r="V155" i="3" s="1"/>
  <c r="W155" i="3" s="1"/>
  <c r="Q155" i="3"/>
  <c r="M155" i="3"/>
  <c r="J155" i="3"/>
  <c r="S155" i="3" s="1"/>
  <c r="H155" i="3"/>
  <c r="AJ154" i="3"/>
  <c r="AH154" i="3"/>
  <c r="Z154" i="3"/>
  <c r="W154" i="3"/>
  <c r="X154" i="3" s="1"/>
  <c r="AA154" i="3" s="1"/>
  <c r="V154" i="3"/>
  <c r="AF154" i="3" s="1"/>
  <c r="U154" i="3"/>
  <c r="S154" i="3"/>
  <c r="Q154" i="3"/>
  <c r="M154" i="3"/>
  <c r="J154" i="3"/>
  <c r="I154" i="3"/>
  <c r="T154" i="3" s="1"/>
  <c r="H154" i="3"/>
  <c r="AJ153" i="3"/>
  <c r="AF153" i="3"/>
  <c r="AH153" i="3" s="1"/>
  <c r="Z153" i="3"/>
  <c r="X153" i="3"/>
  <c r="AA153" i="3" s="1"/>
  <c r="U153" i="3"/>
  <c r="V153" i="3" s="1"/>
  <c r="W153" i="3" s="1"/>
  <c r="Q153" i="3"/>
  <c r="M153" i="3"/>
  <c r="J153" i="3"/>
  <c r="H153" i="3"/>
  <c r="I153" i="3" s="1"/>
  <c r="Y152" i="3"/>
  <c r="J152" i="3"/>
  <c r="I172" i="3" s="1"/>
  <c r="I152" i="3"/>
  <c r="AJ137" i="3"/>
  <c r="AE137" i="3"/>
  <c r="V137" i="3"/>
  <c r="R137" i="3"/>
  <c r="S137" i="3" s="1"/>
  <c r="H137" i="3"/>
  <c r="AJ136" i="3"/>
  <c r="AE136" i="3"/>
  <c r="W136" i="3"/>
  <c r="V136" i="3"/>
  <c r="AF136" i="3" s="1"/>
  <c r="AH136" i="3" s="1"/>
  <c r="S136" i="3"/>
  <c r="R136" i="3"/>
  <c r="N136" i="3"/>
  <c r="M136" i="3"/>
  <c r="J136" i="3"/>
  <c r="H136" i="3"/>
  <c r="AJ135" i="3"/>
  <c r="AE135" i="3"/>
  <c r="V135" i="3"/>
  <c r="R135" i="3"/>
  <c r="N135" i="3"/>
  <c r="M135" i="3"/>
  <c r="H135" i="3"/>
  <c r="J134" i="3"/>
  <c r="J137" i="3" s="1"/>
  <c r="I134" i="3"/>
  <c r="AJ130" i="3"/>
  <c r="AH130" i="3"/>
  <c r="AE130" i="3"/>
  <c r="AA130" i="3"/>
  <c r="X130" i="3"/>
  <c r="Z130" i="3" s="1"/>
  <c r="W130" i="3"/>
  <c r="V130" i="3"/>
  <c r="AF130" i="3" s="1"/>
  <c r="AG130" i="3" s="1"/>
  <c r="R130" i="3"/>
  <c r="H130" i="3"/>
  <c r="AJ129" i="3"/>
  <c r="AH129" i="3"/>
  <c r="AF129" i="3"/>
  <c r="W129" i="3"/>
  <c r="X129" i="3" s="1"/>
  <c r="V129" i="3"/>
  <c r="R129" i="3"/>
  <c r="N129" i="3"/>
  <c r="AE129" i="3" s="1"/>
  <c r="M129" i="3"/>
  <c r="H129" i="3"/>
  <c r="AJ128" i="3"/>
  <c r="V128" i="3"/>
  <c r="AF128" i="3" s="1"/>
  <c r="AH128" i="3" s="1"/>
  <c r="R128" i="3"/>
  <c r="N128" i="3"/>
  <c r="AE128" i="3" s="1"/>
  <c r="M128" i="3"/>
  <c r="H128" i="3"/>
  <c r="J127" i="3"/>
  <c r="I127" i="3"/>
  <c r="AJ123" i="3"/>
  <c r="AF123" i="3"/>
  <c r="AH123" i="3" s="1"/>
  <c r="AE123" i="3"/>
  <c r="Z123" i="3"/>
  <c r="Y123" i="3" s="1"/>
  <c r="AB123" i="3" s="1"/>
  <c r="W123" i="3"/>
  <c r="X123" i="3" s="1"/>
  <c r="AA123" i="3" s="1"/>
  <c r="V123" i="3"/>
  <c r="R123" i="3"/>
  <c r="J123" i="3"/>
  <c r="S123" i="3" s="1"/>
  <c r="H123" i="3"/>
  <c r="AJ122" i="3"/>
  <c r="AE122" i="3"/>
  <c r="W122" i="3"/>
  <c r="X122" i="3" s="1"/>
  <c r="V122" i="3"/>
  <c r="AF122" i="3" s="1"/>
  <c r="AH122" i="3" s="1"/>
  <c r="R122" i="3"/>
  <c r="S122" i="3" s="1"/>
  <c r="I122" i="3"/>
  <c r="T122" i="3" s="1"/>
  <c r="H122" i="3"/>
  <c r="AJ121" i="3"/>
  <c r="AF121" i="3"/>
  <c r="AH121" i="3" s="1"/>
  <c r="AE121" i="3"/>
  <c r="V121" i="3"/>
  <c r="W121" i="3" s="1"/>
  <c r="X121" i="3" s="1"/>
  <c r="AA121" i="3" s="1"/>
  <c r="R121" i="3"/>
  <c r="I121" i="3"/>
  <c r="T121" i="3" s="1"/>
  <c r="H121" i="3"/>
  <c r="J120" i="3"/>
  <c r="J122" i="3" s="1"/>
  <c r="I120" i="3"/>
  <c r="AJ116" i="3"/>
  <c r="AE116" i="3"/>
  <c r="V116" i="3"/>
  <c r="AF116" i="3" s="1"/>
  <c r="AH116" i="3" s="1"/>
  <c r="R116" i="3"/>
  <c r="H116" i="3"/>
  <c r="AJ115" i="3"/>
  <c r="V115" i="3"/>
  <c r="AF115" i="3" s="1"/>
  <c r="AH115" i="3" s="1"/>
  <c r="R115" i="3"/>
  <c r="N115" i="3"/>
  <c r="M115" i="3"/>
  <c r="H115" i="3"/>
  <c r="AJ114" i="3"/>
  <c r="AH114" i="3"/>
  <c r="AE114" i="3"/>
  <c r="V114" i="3"/>
  <c r="AF114" i="3" s="1"/>
  <c r="R114" i="3"/>
  <c r="N114" i="3"/>
  <c r="M114" i="3"/>
  <c r="H114" i="3"/>
  <c r="Y113" i="3"/>
  <c r="J113" i="3"/>
  <c r="I114" i="3" s="1"/>
  <c r="I113" i="3"/>
  <c r="AJ108" i="3"/>
  <c r="V108" i="3"/>
  <c r="W108" i="3" s="1"/>
  <c r="X108" i="3" s="1"/>
  <c r="R108" i="3"/>
  <c r="N108" i="3"/>
  <c r="AE108" i="3" s="1"/>
  <c r="M108" i="3"/>
  <c r="I108" i="3"/>
  <c r="T108" i="3" s="1"/>
  <c r="H108" i="3"/>
  <c r="AJ107" i="3"/>
  <c r="AF107" i="3"/>
  <c r="AH107" i="3" s="1"/>
  <c r="V107" i="3"/>
  <c r="W107" i="3" s="1"/>
  <c r="X107" i="3" s="1"/>
  <c r="R107" i="3"/>
  <c r="N107" i="3"/>
  <c r="AE107" i="3" s="1"/>
  <c r="M107" i="3"/>
  <c r="I107" i="3"/>
  <c r="T107" i="3" s="1"/>
  <c r="H107" i="3"/>
  <c r="J106" i="3"/>
  <c r="I106" i="3"/>
  <c r="AJ102" i="3"/>
  <c r="AE102" i="3"/>
  <c r="V102" i="3"/>
  <c r="AF102" i="3" s="1"/>
  <c r="AH102" i="3" s="1"/>
  <c r="R102" i="3"/>
  <c r="N102" i="3"/>
  <c r="M102" i="3"/>
  <c r="H102" i="3"/>
  <c r="AJ101" i="3"/>
  <c r="X101" i="3"/>
  <c r="AA101" i="3" s="1"/>
  <c r="V101" i="3"/>
  <c r="W101" i="3" s="1"/>
  <c r="R101" i="3"/>
  <c r="N101" i="3"/>
  <c r="AE101" i="3" s="1"/>
  <c r="M101" i="3"/>
  <c r="H101" i="3"/>
  <c r="I101" i="3" s="1"/>
  <c r="T101" i="3" s="1"/>
  <c r="AJ100" i="3"/>
  <c r="AF100" i="3"/>
  <c r="AH100" i="3" s="1"/>
  <c r="Y100" i="3"/>
  <c r="AB100" i="3" s="1"/>
  <c r="X100" i="3"/>
  <c r="Z100" i="3" s="1"/>
  <c r="W100" i="3"/>
  <c r="V100" i="3"/>
  <c r="R100" i="3"/>
  <c r="N100" i="3"/>
  <c r="M100" i="3"/>
  <c r="H100" i="3"/>
  <c r="I100" i="3" s="1"/>
  <c r="T100" i="3" s="1"/>
  <c r="Y99" i="3"/>
  <c r="J99" i="3"/>
  <c r="I99" i="3"/>
  <c r="AJ95" i="3"/>
  <c r="AF95" i="3"/>
  <c r="AH95" i="3" s="1"/>
  <c r="Y95" i="3"/>
  <c r="AB95" i="3" s="1"/>
  <c r="X95" i="3"/>
  <c r="Z95" i="3" s="1"/>
  <c r="W95" i="3"/>
  <c r="V95" i="3"/>
  <c r="R95" i="3"/>
  <c r="N95" i="3"/>
  <c r="M95" i="3"/>
  <c r="H95" i="3"/>
  <c r="I95" i="3" s="1"/>
  <c r="T95" i="3" s="1"/>
  <c r="Y94" i="3"/>
  <c r="J94" i="3"/>
  <c r="I94" i="3"/>
  <c r="AJ90" i="3"/>
  <c r="X90" i="3"/>
  <c r="AA90" i="3" s="1"/>
  <c r="V90" i="3"/>
  <c r="W90" i="3" s="1"/>
  <c r="R90" i="3"/>
  <c r="N90" i="3"/>
  <c r="AE90" i="3" s="1"/>
  <c r="M90" i="3"/>
  <c r="H90" i="3"/>
  <c r="I90" i="3" s="1"/>
  <c r="T90" i="3" s="1"/>
  <c r="AJ89" i="3"/>
  <c r="AF89" i="3"/>
  <c r="AH89" i="3" s="1"/>
  <c r="Y89" i="3"/>
  <c r="AB89" i="3" s="1"/>
  <c r="X89" i="3"/>
  <c r="Z89" i="3" s="1"/>
  <c r="W89" i="3"/>
  <c r="V89" i="3"/>
  <c r="R89" i="3"/>
  <c r="N89" i="3"/>
  <c r="M89" i="3"/>
  <c r="H89" i="3"/>
  <c r="I89" i="3" s="1"/>
  <c r="T89" i="3" s="1"/>
  <c r="Y88" i="3"/>
  <c r="J88" i="3"/>
  <c r="I88" i="3"/>
  <c r="AJ85" i="3"/>
  <c r="X85" i="3"/>
  <c r="AA85" i="3" s="1"/>
  <c r="V85" i="3"/>
  <c r="W85" i="3" s="1"/>
  <c r="R85" i="3"/>
  <c r="N85" i="3"/>
  <c r="AE85" i="3" s="1"/>
  <c r="M85" i="3"/>
  <c r="H85" i="3"/>
  <c r="I85" i="3" s="1"/>
  <c r="T85" i="3" s="1"/>
  <c r="AJ84" i="3"/>
  <c r="AF84" i="3"/>
  <c r="AH84" i="3" s="1"/>
  <c r="Y84" i="3"/>
  <c r="AB84" i="3" s="1"/>
  <c r="X84" i="3"/>
  <c r="Z84" i="3" s="1"/>
  <c r="W84" i="3"/>
  <c r="V84" i="3"/>
  <c r="R84" i="3"/>
  <c r="N84" i="3"/>
  <c r="M84" i="3"/>
  <c r="H84" i="3"/>
  <c r="I84" i="3" s="1"/>
  <c r="T84" i="3" s="1"/>
  <c r="AJ83" i="3"/>
  <c r="W83" i="3"/>
  <c r="X83" i="3" s="1"/>
  <c r="V83" i="3"/>
  <c r="AF83" i="3" s="1"/>
  <c r="AH83" i="3" s="1"/>
  <c r="R83" i="3"/>
  <c r="N83" i="3"/>
  <c r="AE83" i="3" s="1"/>
  <c r="M83" i="3"/>
  <c r="H83" i="3"/>
  <c r="I83" i="3" s="1"/>
  <c r="T83" i="3" s="1"/>
  <c r="J82" i="3"/>
  <c r="I82" i="3"/>
  <c r="AF79" i="3"/>
  <c r="AH79" i="3" s="1"/>
  <c r="W79" i="3"/>
  <c r="X79" i="3" s="1"/>
  <c r="V79" i="3"/>
  <c r="AF78" i="3"/>
  <c r="AH78" i="3" s="1"/>
  <c r="W78" i="3"/>
  <c r="X78" i="3" s="1"/>
  <c r="AA78" i="3" s="1"/>
  <c r="V78" i="3"/>
  <c r="V77" i="3"/>
  <c r="W77" i="3" s="1"/>
  <c r="X77" i="3" s="1"/>
  <c r="N77" i="3"/>
  <c r="M77" i="3"/>
  <c r="AJ76" i="3"/>
  <c r="AH76" i="3"/>
  <c r="AF76" i="3"/>
  <c r="W76" i="3"/>
  <c r="X76" i="3" s="1"/>
  <c r="V76" i="3"/>
  <c r="R76" i="3"/>
  <c r="N76" i="3"/>
  <c r="M76" i="3"/>
  <c r="I76" i="3"/>
  <c r="T76" i="3" s="1"/>
  <c r="H76" i="3"/>
  <c r="AJ75" i="3"/>
  <c r="AE75" i="3"/>
  <c r="AD75" i="3"/>
  <c r="Z75" i="3"/>
  <c r="Y75" i="3" s="1"/>
  <c r="AB75" i="3" s="1"/>
  <c r="X75" i="3"/>
  <c r="AA75" i="3" s="1"/>
  <c r="W75" i="3"/>
  <c r="V75" i="3"/>
  <c r="AF75" i="3" s="1"/>
  <c r="AH75" i="3" s="1"/>
  <c r="R75" i="3"/>
  <c r="N75" i="3"/>
  <c r="M75" i="3"/>
  <c r="H75" i="3"/>
  <c r="AJ74" i="3"/>
  <c r="AE74" i="3"/>
  <c r="V74" i="3"/>
  <c r="AF74" i="3" s="1"/>
  <c r="AH74" i="3" s="1"/>
  <c r="R74" i="3"/>
  <c r="N74" i="3"/>
  <c r="M74" i="3"/>
  <c r="I74" i="3"/>
  <c r="T74" i="3" s="1"/>
  <c r="H74" i="3"/>
  <c r="J73" i="3"/>
  <c r="I73" i="3"/>
  <c r="R72" i="3"/>
  <c r="R71" i="3"/>
  <c r="R70" i="3"/>
  <c r="AJ68" i="3"/>
  <c r="AE68" i="3"/>
  <c r="AD68" i="3"/>
  <c r="Z68" i="3"/>
  <c r="Y68" i="3" s="1"/>
  <c r="W68" i="3"/>
  <c r="X68" i="3" s="1"/>
  <c r="AA68" i="3" s="1"/>
  <c r="V68" i="3"/>
  <c r="AF68" i="3" s="1"/>
  <c r="AH68" i="3" s="1"/>
  <c r="R68" i="3"/>
  <c r="N68" i="3"/>
  <c r="M68" i="3"/>
  <c r="H68" i="3"/>
  <c r="AJ67" i="3"/>
  <c r="X67" i="3"/>
  <c r="AA67" i="3" s="1"/>
  <c r="V67" i="3"/>
  <c r="W67" i="3" s="1"/>
  <c r="R67" i="3"/>
  <c r="N67" i="3"/>
  <c r="AE67" i="3" s="1"/>
  <c r="M67" i="3"/>
  <c r="H67" i="3"/>
  <c r="I67" i="3" s="1"/>
  <c r="T67" i="3" s="1"/>
  <c r="AJ66" i="3"/>
  <c r="AH66" i="3"/>
  <c r="AF66" i="3"/>
  <c r="Y66" i="3"/>
  <c r="AB66" i="3" s="1"/>
  <c r="X66" i="3"/>
  <c r="Z66" i="3" s="1"/>
  <c r="W66" i="3"/>
  <c r="V66" i="3"/>
  <c r="R66" i="3"/>
  <c r="N66" i="3"/>
  <c r="M66" i="3"/>
  <c r="H66" i="3"/>
  <c r="Y65" i="3"/>
  <c r="J65" i="3"/>
  <c r="I65" i="3"/>
  <c r="AJ62" i="3"/>
  <c r="X62" i="3"/>
  <c r="AA62" i="3" s="1"/>
  <c r="V62" i="3"/>
  <c r="W62" i="3" s="1"/>
  <c r="R62" i="3"/>
  <c r="N62" i="3"/>
  <c r="AE62" i="3" s="1"/>
  <c r="M62" i="3"/>
  <c r="H62" i="3"/>
  <c r="I62" i="3" s="1"/>
  <c r="T62" i="3" s="1"/>
  <c r="AJ61" i="3"/>
  <c r="AH61" i="3"/>
  <c r="AF61" i="3"/>
  <c r="Y61" i="3"/>
  <c r="AB61" i="3" s="1"/>
  <c r="X61" i="3"/>
  <c r="Z61" i="3" s="1"/>
  <c r="W61" i="3"/>
  <c r="V61" i="3"/>
  <c r="R61" i="3"/>
  <c r="N61" i="3"/>
  <c r="M61" i="3"/>
  <c r="H61" i="3"/>
  <c r="AJ60" i="3"/>
  <c r="W60" i="3"/>
  <c r="X60" i="3" s="1"/>
  <c r="V60" i="3"/>
  <c r="AF60" i="3" s="1"/>
  <c r="AH60" i="3" s="1"/>
  <c r="R60" i="3"/>
  <c r="N60" i="3"/>
  <c r="AE60" i="3" s="1"/>
  <c r="M60" i="3"/>
  <c r="H60" i="3"/>
  <c r="I60" i="3" s="1"/>
  <c r="T60" i="3" s="1"/>
  <c r="J59" i="3"/>
  <c r="I59" i="3"/>
  <c r="AJ56" i="3"/>
  <c r="AH56" i="3"/>
  <c r="AF56" i="3"/>
  <c r="W56" i="3"/>
  <c r="X56" i="3" s="1"/>
  <c r="V56" i="3"/>
  <c r="R56" i="3"/>
  <c r="N56" i="3"/>
  <c r="M56" i="3"/>
  <c r="I56" i="3"/>
  <c r="T56" i="3" s="1"/>
  <c r="H56" i="3"/>
  <c r="AJ55" i="3"/>
  <c r="AE55" i="3"/>
  <c r="AD55" i="3"/>
  <c r="Z55" i="3"/>
  <c r="Y55" i="3" s="1"/>
  <c r="AB55" i="3" s="1"/>
  <c r="X55" i="3"/>
  <c r="AA55" i="3" s="1"/>
  <c r="W55" i="3"/>
  <c r="V55" i="3"/>
  <c r="AF55" i="3" s="1"/>
  <c r="AH55" i="3" s="1"/>
  <c r="S55" i="3"/>
  <c r="R55" i="3"/>
  <c r="N55" i="3"/>
  <c r="M55" i="3"/>
  <c r="J55" i="3"/>
  <c r="H55" i="3"/>
  <c r="AJ54" i="3"/>
  <c r="AE54" i="3"/>
  <c r="V54" i="3"/>
  <c r="AF54" i="3" s="1"/>
  <c r="AH54" i="3" s="1"/>
  <c r="R54" i="3"/>
  <c r="N54" i="3"/>
  <c r="M54" i="3"/>
  <c r="I54" i="3"/>
  <c r="T54" i="3" s="1"/>
  <c r="H54" i="3"/>
  <c r="J53" i="3"/>
  <c r="I53" i="3"/>
  <c r="AJ50" i="3"/>
  <c r="V50" i="3"/>
  <c r="AF50" i="3" s="1"/>
  <c r="AH50" i="3" s="1"/>
  <c r="R50" i="3"/>
  <c r="N50" i="3"/>
  <c r="M50" i="3"/>
  <c r="H50" i="3"/>
  <c r="AJ49" i="3"/>
  <c r="AE49" i="3"/>
  <c r="W49" i="3"/>
  <c r="X49" i="3" s="1"/>
  <c r="AA49" i="3" s="1"/>
  <c r="V49" i="3"/>
  <c r="AF49" i="3" s="1"/>
  <c r="AH49" i="3" s="1"/>
  <c r="R49" i="3"/>
  <c r="P49" i="3"/>
  <c r="N49" i="3"/>
  <c r="M49" i="3"/>
  <c r="J49" i="3"/>
  <c r="S49" i="3" s="1"/>
  <c r="I49" i="3"/>
  <c r="T49" i="3" s="1"/>
  <c r="H49" i="3"/>
  <c r="AJ48" i="3"/>
  <c r="V48" i="3"/>
  <c r="W48" i="3" s="1"/>
  <c r="X48" i="3" s="1"/>
  <c r="R48" i="3"/>
  <c r="P48" i="3"/>
  <c r="N48" i="3"/>
  <c r="AE48" i="3" s="1"/>
  <c r="M48" i="3"/>
  <c r="J48" i="3"/>
  <c r="O48" i="3" s="1"/>
  <c r="I48" i="3"/>
  <c r="T48" i="3" s="1"/>
  <c r="H48" i="3"/>
  <c r="AJ47" i="3"/>
  <c r="AH47" i="3"/>
  <c r="AF47" i="3"/>
  <c r="W47" i="3"/>
  <c r="X47" i="3" s="1"/>
  <c r="V47" i="3"/>
  <c r="R47" i="3"/>
  <c r="N47" i="3"/>
  <c r="M47" i="3"/>
  <c r="I47" i="3"/>
  <c r="T47" i="3" s="1"/>
  <c r="H47" i="3"/>
  <c r="AJ46" i="3"/>
  <c r="AE46" i="3"/>
  <c r="V46" i="3"/>
  <c r="W46" i="3" s="1"/>
  <c r="S46" i="3"/>
  <c r="R46" i="3"/>
  <c r="N46" i="3"/>
  <c r="M46" i="3"/>
  <c r="J46" i="3"/>
  <c r="H46" i="3"/>
  <c r="AJ45" i="3"/>
  <c r="AE45" i="3"/>
  <c r="V45" i="3"/>
  <c r="AF45" i="3" s="1"/>
  <c r="AH45" i="3" s="1"/>
  <c r="R45" i="3"/>
  <c r="N45" i="3"/>
  <c r="M45" i="3"/>
  <c r="I45" i="3"/>
  <c r="T45" i="3" s="1"/>
  <c r="H45" i="3"/>
  <c r="J44" i="3"/>
  <c r="I44" i="3"/>
  <c r="AJ41" i="3"/>
  <c r="V41" i="3"/>
  <c r="W41" i="3" s="1"/>
  <c r="X41" i="3" s="1"/>
  <c r="R41" i="3"/>
  <c r="N41" i="3"/>
  <c r="M41" i="3"/>
  <c r="H41" i="3"/>
  <c r="AJ40" i="3"/>
  <c r="AE40" i="3"/>
  <c r="W40" i="3"/>
  <c r="X40" i="3" s="1"/>
  <c r="AA40" i="3" s="1"/>
  <c r="V40" i="3"/>
  <c r="AF40" i="3" s="1"/>
  <c r="AH40" i="3" s="1"/>
  <c r="R40" i="3"/>
  <c r="P40" i="3"/>
  <c r="N40" i="3"/>
  <c r="M40" i="3"/>
  <c r="J40" i="3"/>
  <c r="S40" i="3" s="1"/>
  <c r="I40" i="3"/>
  <c r="T40" i="3" s="1"/>
  <c r="H40" i="3"/>
  <c r="AJ39" i="3"/>
  <c r="AH39" i="3"/>
  <c r="AF39" i="3"/>
  <c r="X39" i="3"/>
  <c r="AA39" i="3" s="1"/>
  <c r="W39" i="3"/>
  <c r="V39" i="3"/>
  <c r="R39" i="3"/>
  <c r="N39" i="3"/>
  <c r="AE39" i="3" s="1"/>
  <c r="M39" i="3"/>
  <c r="H39" i="3"/>
  <c r="I39" i="3" s="1"/>
  <c r="T39" i="3" s="1"/>
  <c r="AJ38" i="3"/>
  <c r="AE38" i="3"/>
  <c r="W38" i="3"/>
  <c r="AD38" i="3" s="1"/>
  <c r="V38" i="3"/>
  <c r="AF38" i="3" s="1"/>
  <c r="AH38" i="3" s="1"/>
  <c r="R38" i="3"/>
  <c r="N38" i="3"/>
  <c r="M38" i="3"/>
  <c r="J38" i="3"/>
  <c r="S38" i="3" s="1"/>
  <c r="H38" i="3"/>
  <c r="I38" i="3" s="1"/>
  <c r="AJ37" i="3"/>
  <c r="AE37" i="3"/>
  <c r="V37" i="3"/>
  <c r="AF37" i="3" s="1"/>
  <c r="AH37" i="3" s="1"/>
  <c r="R37" i="3"/>
  <c r="P37" i="3"/>
  <c r="N37" i="3"/>
  <c r="M37" i="3"/>
  <c r="J37" i="3"/>
  <c r="O37" i="3" s="1"/>
  <c r="I37" i="3"/>
  <c r="T37" i="3" s="1"/>
  <c r="H37" i="3"/>
  <c r="AJ36" i="3"/>
  <c r="AH36" i="3"/>
  <c r="AF36" i="3"/>
  <c r="V36" i="3"/>
  <c r="W36" i="3" s="1"/>
  <c r="X36" i="3" s="1"/>
  <c r="R36" i="3"/>
  <c r="N36" i="3"/>
  <c r="AE36" i="3" s="1"/>
  <c r="M36" i="3"/>
  <c r="I36" i="3"/>
  <c r="T36" i="3" s="1"/>
  <c r="H36" i="3"/>
  <c r="J35" i="3"/>
  <c r="I35" i="3"/>
  <c r="X33" i="3"/>
  <c r="Y217" i="3" s="1"/>
  <c r="V23" i="3"/>
  <c r="O23" i="3"/>
  <c r="AO22" i="3"/>
  <c r="AN22" i="3"/>
  <c r="AO21" i="3"/>
  <c r="AN21" i="3"/>
  <c r="AO20" i="3"/>
  <c r="AN20" i="3"/>
  <c r="AO19" i="3"/>
  <c r="AN19" i="3"/>
  <c r="X19" i="3"/>
  <c r="AO18" i="3"/>
  <c r="AN18" i="3"/>
  <c r="AO17" i="3"/>
  <c r="AN17" i="3"/>
  <c r="AO16" i="3"/>
  <c r="AN16" i="3"/>
  <c r="AO15" i="3"/>
  <c r="AN15" i="3"/>
  <c r="AO14" i="3"/>
  <c r="AN14" i="3"/>
  <c r="AJ14" i="3"/>
  <c r="AI14" i="3"/>
  <c r="W14" i="3"/>
  <c r="U14" i="3"/>
  <c r="P14" i="3"/>
  <c r="K14" i="3"/>
  <c r="AO13" i="3"/>
  <c r="AN13" i="3"/>
  <c r="N13" i="3"/>
  <c r="AO12" i="3"/>
  <c r="AN12" i="3"/>
  <c r="AO11" i="3"/>
  <c r="AN11" i="3"/>
  <c r="AO10" i="3"/>
  <c r="AN10" i="3"/>
  <c r="X10" i="3"/>
  <c r="T10" i="3"/>
  <c r="AO9" i="3"/>
  <c r="AN9" i="3"/>
  <c r="AO8" i="3"/>
  <c r="AN8" i="3"/>
  <c r="W8" i="3"/>
  <c r="U8" i="3"/>
  <c r="AO7" i="3"/>
  <c r="AN7" i="3"/>
  <c r="AO6" i="3"/>
  <c r="AN6" i="3"/>
  <c r="AO5" i="3"/>
  <c r="AN5" i="3"/>
  <c r="AO4" i="3"/>
  <c r="AN4" i="3"/>
  <c r="F1" i="3"/>
  <c r="J765" i="2"/>
  <c r="J764" i="2"/>
  <c r="J679" i="2"/>
  <c r="J678" i="2"/>
  <c r="J665" i="2"/>
  <c r="J660" i="2"/>
  <c r="J659" i="2"/>
  <c r="J630" i="2"/>
  <c r="J610" i="2"/>
  <c r="J609" i="2"/>
  <c r="J430" i="2"/>
  <c r="J426" i="2"/>
  <c r="J422" i="2"/>
  <c r="J418" i="2"/>
  <c r="J254" i="2"/>
  <c r="J253" i="2"/>
  <c r="J252" i="2"/>
  <c r="J251" i="2"/>
  <c r="J249" i="2"/>
  <c r="J137" i="2"/>
  <c r="I124" i="2"/>
  <c r="I119" i="2"/>
  <c r="I115" i="2"/>
  <c r="I111" i="2"/>
  <c r="I109" i="2"/>
  <c r="I697" i="2" l="1"/>
  <c r="J697" i="2"/>
  <c r="J698" i="2"/>
  <c r="I698" i="2"/>
  <c r="AA108" i="3"/>
  <c r="Z108" i="3"/>
  <c r="Y108" i="3" s="1"/>
  <c r="AA60" i="3"/>
  <c r="Z60" i="3"/>
  <c r="Y60" i="3" s="1"/>
  <c r="AB60" i="3" s="1"/>
  <c r="Z79" i="3"/>
  <c r="Y79" i="3" s="1"/>
  <c r="AB79" i="3" s="1"/>
  <c r="AA79" i="3"/>
  <c r="Z122" i="3"/>
  <c r="Y122" i="3" s="1"/>
  <c r="AB122" i="3" s="1"/>
  <c r="AA122" i="3"/>
  <c r="AA36" i="3"/>
  <c r="Z36" i="3"/>
  <c r="Y36" i="3" s="1"/>
  <c r="Z41" i="3"/>
  <c r="Y41" i="3" s="1"/>
  <c r="AB41" i="3" s="1"/>
  <c r="AA41" i="3"/>
  <c r="AB68" i="3"/>
  <c r="AC68" i="3"/>
  <c r="Z77" i="3"/>
  <c r="Y77" i="3" s="1"/>
  <c r="AB77" i="3" s="1"/>
  <c r="AA77" i="3"/>
  <c r="AA107" i="3"/>
  <c r="Z107" i="3"/>
  <c r="Y107" i="3" s="1"/>
  <c r="AB107" i="3" s="1"/>
  <c r="P38" i="3"/>
  <c r="T38" i="3"/>
  <c r="AD46" i="3"/>
  <c r="X46" i="3"/>
  <c r="AA48" i="3"/>
  <c r="Z48" i="3"/>
  <c r="Y48" i="3" s="1"/>
  <c r="AB48" i="3" s="1"/>
  <c r="Z56" i="3"/>
  <c r="Y56" i="3" s="1"/>
  <c r="AB56" i="3" s="1"/>
  <c r="AA56" i="3"/>
  <c r="Z76" i="3"/>
  <c r="Y76" i="3" s="1"/>
  <c r="AB76" i="3" s="1"/>
  <c r="AA76" i="3"/>
  <c r="AA83" i="3"/>
  <c r="Z83" i="3"/>
  <c r="Y83" i="3" s="1"/>
  <c r="AB83" i="3" s="1"/>
  <c r="O95" i="3"/>
  <c r="O96" i="3" s="1"/>
  <c r="Z129" i="3"/>
  <c r="Y129" i="3" s="1"/>
  <c r="AA129" i="3"/>
  <c r="Z47" i="3"/>
  <c r="Y47" i="3" s="1"/>
  <c r="AB47" i="3" s="1"/>
  <c r="AA47" i="3"/>
  <c r="AC76" i="3"/>
  <c r="T114" i="3"/>
  <c r="P114" i="3"/>
  <c r="AF41" i="3"/>
  <c r="AH41" i="3" s="1"/>
  <c r="P60" i="3"/>
  <c r="AD84" i="3"/>
  <c r="P84" i="3"/>
  <c r="AE95" i="3"/>
  <c r="AD101" i="3"/>
  <c r="O115" i="3"/>
  <c r="AA176" i="3"/>
  <c r="Z176" i="3"/>
  <c r="Y176" i="3" s="1"/>
  <c r="AB176" i="3" s="1"/>
  <c r="J769" i="2"/>
  <c r="J795" i="2"/>
  <c r="I795" i="2"/>
  <c r="J100" i="3"/>
  <c r="S100" i="3" s="1"/>
  <c r="AK100" i="3" s="1"/>
  <c r="J95" i="3"/>
  <c r="S95" i="3" s="1"/>
  <c r="J89" i="3"/>
  <c r="S89" i="3" s="1"/>
  <c r="J84" i="3"/>
  <c r="S84" i="3" s="1"/>
  <c r="J76" i="3"/>
  <c r="J66" i="3"/>
  <c r="S66" i="3" s="1"/>
  <c r="J61" i="3"/>
  <c r="S61" i="3" s="1"/>
  <c r="J56" i="3"/>
  <c r="J47" i="3"/>
  <c r="J36" i="3"/>
  <c r="P36" i="3"/>
  <c r="AD36" i="3"/>
  <c r="M178" i="3"/>
  <c r="W37" i="3"/>
  <c r="X38" i="3"/>
  <c r="AD40" i="3"/>
  <c r="I41" i="3"/>
  <c r="T41" i="3" s="1"/>
  <c r="J45" i="3"/>
  <c r="P45" i="3"/>
  <c r="W45" i="3"/>
  <c r="O46" i="3"/>
  <c r="AF46" i="3"/>
  <c r="AH46" i="3" s="1"/>
  <c r="AH110" i="3" s="1"/>
  <c r="U4" i="3" s="1"/>
  <c r="AC48" i="3"/>
  <c r="AD49" i="3"/>
  <c r="I50" i="3"/>
  <c r="T50" i="3" s="1"/>
  <c r="W50" i="3"/>
  <c r="X50" i="3" s="1"/>
  <c r="J54" i="3"/>
  <c r="P54" i="3"/>
  <c r="W54" i="3"/>
  <c r="AC55" i="3"/>
  <c r="O55" i="3"/>
  <c r="J60" i="3"/>
  <c r="S60" i="3" s="1"/>
  <c r="AD60" i="3"/>
  <c r="AA61" i="3"/>
  <c r="Z62" i="3"/>
  <c r="Y62" i="3" s="1"/>
  <c r="AB62" i="3" s="1"/>
  <c r="AF62" i="3"/>
  <c r="AH62" i="3" s="1"/>
  <c r="AA66" i="3"/>
  <c r="Z67" i="3"/>
  <c r="Y67" i="3" s="1"/>
  <c r="AB67" i="3" s="1"/>
  <c r="AF67" i="3"/>
  <c r="AH67" i="3" s="1"/>
  <c r="I68" i="3"/>
  <c r="J74" i="3"/>
  <c r="P74" i="3"/>
  <c r="W74" i="3"/>
  <c r="AC75" i="3"/>
  <c r="AF77" i="3"/>
  <c r="AH77" i="3" s="1"/>
  <c r="J83" i="3"/>
  <c r="S83" i="3" s="1"/>
  <c r="AK83" i="3" s="1"/>
  <c r="AK86" i="3" s="1"/>
  <c r="AL84" i="3" s="1"/>
  <c r="AD83" i="3"/>
  <c r="AA84" i="3"/>
  <c r="O85" i="3"/>
  <c r="Z85" i="3"/>
  <c r="Y85" i="3" s="1"/>
  <c r="AB85" i="3" s="1"/>
  <c r="AF85" i="3"/>
  <c r="AH85" i="3" s="1"/>
  <c r="AA89" i="3"/>
  <c r="O90" i="3"/>
  <c r="Z90" i="3"/>
  <c r="Y90" i="3" s="1"/>
  <c r="AB90" i="3" s="1"/>
  <c r="AF90" i="3"/>
  <c r="AH90" i="3" s="1"/>
  <c r="AA95" i="3"/>
  <c r="AA100" i="3"/>
  <c r="Z101" i="3"/>
  <c r="Y101" i="3" s="1"/>
  <c r="AB101" i="3" s="1"/>
  <c r="AF101" i="3"/>
  <c r="AH101" i="3" s="1"/>
  <c r="I102" i="3"/>
  <c r="J107" i="3"/>
  <c r="P107" i="3"/>
  <c r="J108" i="3"/>
  <c r="P108" i="3"/>
  <c r="AF108" i="3"/>
  <c r="AH108" i="3" s="1"/>
  <c r="W115" i="3"/>
  <c r="X115" i="3" s="1"/>
  <c r="AE115" i="3"/>
  <c r="I116" i="3"/>
  <c r="T116" i="3" s="1"/>
  <c r="W116" i="3"/>
  <c r="X116" i="3" s="1"/>
  <c r="Z121" i="3"/>
  <c r="Y121" i="3" s="1"/>
  <c r="AB121" i="3" s="1"/>
  <c r="AG121" i="3"/>
  <c r="Y127" i="3"/>
  <c r="W128" i="3"/>
  <c r="X128" i="3" s="1"/>
  <c r="I129" i="3"/>
  <c r="T129" i="3" s="1"/>
  <c r="I130" i="3"/>
  <c r="T130" i="3" s="1"/>
  <c r="I135" i="3"/>
  <c r="I136" i="3"/>
  <c r="AD136" i="3"/>
  <c r="X136" i="3"/>
  <c r="AK136" i="3"/>
  <c r="W137" i="3"/>
  <c r="X137" i="3" s="1"/>
  <c r="AF137" i="3"/>
  <c r="AH137" i="3" s="1"/>
  <c r="T153" i="3"/>
  <c r="Z155" i="3"/>
  <c r="Y155" i="3" s="1"/>
  <c r="AB155" i="3" s="1"/>
  <c r="Z157" i="3"/>
  <c r="Y157" i="3" s="1"/>
  <c r="AB157" i="3" s="1"/>
  <c r="Z158" i="3"/>
  <c r="Y158" i="3" s="1"/>
  <c r="AB158" i="3" s="1"/>
  <c r="S172" i="3"/>
  <c r="O172" i="3"/>
  <c r="AE174" i="3"/>
  <c r="P174" i="3"/>
  <c r="AD174" i="3"/>
  <c r="T177" i="3"/>
  <c r="AA202" i="3"/>
  <c r="Z202" i="3"/>
  <c r="Y202" i="3" s="1"/>
  <c r="AB202" i="3" s="1"/>
  <c r="X228" i="3"/>
  <c r="AD228" i="3"/>
  <c r="W230" i="3"/>
  <c r="X230" i="3" s="1"/>
  <c r="AF230" i="3"/>
  <c r="AH230" i="3" s="1"/>
  <c r="Z250" i="3"/>
  <c r="Y250" i="3" s="1"/>
  <c r="AA250" i="3"/>
  <c r="X253" i="3"/>
  <c r="AD253" i="3"/>
  <c r="X270" i="3"/>
  <c r="AD270" i="3"/>
  <c r="T298" i="3"/>
  <c r="P303" i="3"/>
  <c r="AA303" i="3"/>
  <c r="Z303" i="3"/>
  <c r="Y303" i="3" s="1"/>
  <c r="AB303" i="3" s="1"/>
  <c r="AA388" i="3"/>
  <c r="Z388" i="3"/>
  <c r="Y388" i="3" s="1"/>
  <c r="AA417" i="3"/>
  <c r="Z417" i="3"/>
  <c r="Y417" i="3" s="1"/>
  <c r="AB417" i="3" s="1"/>
  <c r="AC427" i="3"/>
  <c r="AE427" i="3"/>
  <c r="AD427" i="3"/>
  <c r="AA460" i="3"/>
  <c r="Z460" i="3"/>
  <c r="Y460" i="3" s="1"/>
  <c r="AA623" i="3"/>
  <c r="Z623" i="3"/>
  <c r="Y623" i="3" s="1"/>
  <c r="AB623" i="3" s="1"/>
  <c r="W625" i="3"/>
  <c r="X625" i="3" s="1"/>
  <c r="AF625" i="3"/>
  <c r="AH625" i="3" s="1"/>
  <c r="Z641" i="3"/>
  <c r="Y641" i="3" s="1"/>
  <c r="AB641" i="3" s="1"/>
  <c r="AA641" i="3"/>
  <c r="AA725" i="3"/>
  <c r="Z725" i="3"/>
  <c r="Y725" i="3" s="1"/>
  <c r="AB725" i="3" s="1"/>
  <c r="AA739" i="3"/>
  <c r="Z739" i="3"/>
  <c r="Y739" i="3" s="1"/>
  <c r="AB739" i="3" s="1"/>
  <c r="AC41" i="3"/>
  <c r="O50" i="3"/>
  <c r="AD61" i="3"/>
  <c r="AD62" i="3"/>
  <c r="AD66" i="3"/>
  <c r="AE66" i="3"/>
  <c r="AD85" i="3"/>
  <c r="AD90" i="3"/>
  <c r="AD95" i="3"/>
  <c r="P95" i="3"/>
  <c r="P96" i="3" s="1"/>
  <c r="J129" i="3"/>
  <c r="S129" i="3" s="1"/>
  <c r="J128" i="3"/>
  <c r="S128" i="3" s="1"/>
  <c r="M276" i="3"/>
  <c r="AF362" i="3"/>
  <c r="AH362" i="3" s="1"/>
  <c r="W362" i="3"/>
  <c r="X362" i="3" s="1"/>
  <c r="AA422" i="3"/>
  <c r="Z422" i="3"/>
  <c r="Y422" i="3" s="1"/>
  <c r="S577" i="3"/>
  <c r="O577" i="3"/>
  <c r="J785" i="2"/>
  <c r="J799" i="2"/>
  <c r="I799" i="2"/>
  <c r="Y35" i="3"/>
  <c r="M110" i="3"/>
  <c r="S37" i="3"/>
  <c r="AK37" i="3" s="1"/>
  <c r="O38" i="3"/>
  <c r="J39" i="3"/>
  <c r="S39" i="3" s="1"/>
  <c r="P39" i="3"/>
  <c r="Z39" i="3"/>
  <c r="Y39" i="3" s="1"/>
  <c r="AB39" i="3" s="1"/>
  <c r="AD39" i="3"/>
  <c r="Z40" i="3"/>
  <c r="Y40" i="3" s="1"/>
  <c r="J41" i="3"/>
  <c r="S41" i="3" s="1"/>
  <c r="AD41" i="3"/>
  <c r="Y44" i="3"/>
  <c r="I46" i="3"/>
  <c r="T46" i="3" s="1"/>
  <c r="P46" i="3"/>
  <c r="AD47" i="3"/>
  <c r="P47" i="3"/>
  <c r="AE47" i="3"/>
  <c r="S48" i="3"/>
  <c r="AD48" i="3"/>
  <c r="Z49" i="3"/>
  <c r="Y49" i="3" s="1"/>
  <c r="J50" i="3"/>
  <c r="S50" i="3" s="1"/>
  <c r="Y53" i="3"/>
  <c r="I55" i="3"/>
  <c r="AD56" i="3"/>
  <c r="P56" i="3"/>
  <c r="AE56" i="3"/>
  <c r="I61" i="3"/>
  <c r="T61" i="3" s="1"/>
  <c r="J62" i="3"/>
  <c r="S62" i="3" s="1"/>
  <c r="P62" i="3"/>
  <c r="I66" i="3"/>
  <c r="T66" i="3" s="1"/>
  <c r="J67" i="3"/>
  <c r="S67" i="3" s="1"/>
  <c r="P67" i="3"/>
  <c r="J68" i="3"/>
  <c r="Y73" i="3"/>
  <c r="I75" i="3"/>
  <c r="AD76" i="3"/>
  <c r="P76" i="3"/>
  <c r="AE76" i="3"/>
  <c r="I77" i="3"/>
  <c r="I78" i="3"/>
  <c r="Z78" i="3"/>
  <c r="Y78" i="3" s="1"/>
  <c r="AB78" i="3" s="1"/>
  <c r="I79" i="3"/>
  <c r="J85" i="3"/>
  <c r="S85" i="3" s="1"/>
  <c r="P85" i="3"/>
  <c r="J90" i="3"/>
  <c r="S90" i="3" s="1"/>
  <c r="P90" i="3"/>
  <c r="J101" i="3"/>
  <c r="S101" i="3" s="1"/>
  <c r="P101" i="3"/>
  <c r="J102" i="3"/>
  <c r="W102" i="3"/>
  <c r="AC107" i="3"/>
  <c r="W114" i="3"/>
  <c r="I115" i="3"/>
  <c r="T115" i="3" s="1"/>
  <c r="Y120" i="3"/>
  <c r="I123" i="3"/>
  <c r="T123" i="3" s="1"/>
  <c r="I128" i="3"/>
  <c r="T128" i="3" s="1"/>
  <c r="J130" i="3"/>
  <c r="S130" i="3" s="1"/>
  <c r="AF135" i="3"/>
  <c r="AH135" i="3" s="1"/>
  <c r="AH139" i="3" s="1"/>
  <c r="U5" i="3" s="1"/>
  <c r="W5" i="3" s="1"/>
  <c r="W135" i="3"/>
  <c r="S153" i="3"/>
  <c r="AK154" i="3"/>
  <c r="AF155" i="3"/>
  <c r="AH155" i="3" s="1"/>
  <c r="AH179" i="3" s="1"/>
  <c r="U6" i="3" s="1"/>
  <c r="W6" i="3" s="1"/>
  <c r="AF157" i="3"/>
  <c r="AH157" i="3" s="1"/>
  <c r="AD172" i="3"/>
  <c r="X172" i="3"/>
  <c r="Z177" i="3"/>
  <c r="Y177" i="3" s="1"/>
  <c r="AA177" i="3"/>
  <c r="AE197" i="3"/>
  <c r="P197" i="3"/>
  <c r="O197" i="3"/>
  <c r="Y208" i="3"/>
  <c r="O218" i="3"/>
  <c r="AE218" i="3"/>
  <c r="AD218" i="3"/>
  <c r="P218" i="3"/>
  <c r="T296" i="3"/>
  <c r="P296" i="3"/>
  <c r="Z298" i="3"/>
  <c r="Y298" i="3" s="1"/>
  <c r="AA298" i="3"/>
  <c r="W320" i="3"/>
  <c r="X320" i="3" s="1"/>
  <c r="AF320" i="3"/>
  <c r="AH320" i="3" s="1"/>
  <c r="AE329" i="3"/>
  <c r="AD329" i="3"/>
  <c r="T388" i="3"/>
  <c r="P388" i="3"/>
  <c r="J421" i="3"/>
  <c r="I426" i="3"/>
  <c r="I409" i="3"/>
  <c r="J427" i="3"/>
  <c r="S427" i="3" s="1"/>
  <c r="AK427" i="3" s="1"/>
  <c r="AK428" i="3" s="1"/>
  <c r="AL426" i="3" s="1"/>
  <c r="J416" i="3"/>
  <c r="J410" i="3"/>
  <c r="S410" i="3" s="1"/>
  <c r="J422" i="3"/>
  <c r="I416" i="3"/>
  <c r="J409" i="3"/>
  <c r="I422" i="3"/>
  <c r="J417" i="3"/>
  <c r="S417" i="3" s="1"/>
  <c r="J512" i="3"/>
  <c r="S512" i="3" s="1"/>
  <c r="AK512" i="3" s="1"/>
  <c r="J510" i="3"/>
  <c r="S510" i="3" s="1"/>
  <c r="I504" i="3"/>
  <c r="J505" i="3"/>
  <c r="S505" i="3" s="1"/>
  <c r="J511" i="3"/>
  <c r="I511" i="3"/>
  <c r="J504" i="3"/>
  <c r="I510" i="3"/>
  <c r="T510" i="3" s="1"/>
  <c r="AB598" i="3"/>
  <c r="J790" i="2"/>
  <c r="I790" i="2"/>
  <c r="AE61" i="3"/>
  <c r="AD67" i="3"/>
  <c r="P77" i="3"/>
  <c r="AE77" i="3"/>
  <c r="P83" i="3"/>
  <c r="AE84" i="3"/>
  <c r="AD89" i="3"/>
  <c r="P89" i="3"/>
  <c r="P91" i="3" s="1"/>
  <c r="AE89" i="3"/>
  <c r="AD100" i="3"/>
  <c r="P100" i="3"/>
  <c r="AE100" i="3"/>
  <c r="O128" i="3"/>
  <c r="Z315" i="3"/>
  <c r="Y315" i="3" s="1"/>
  <c r="AA315" i="3"/>
  <c r="X409" i="3"/>
  <c r="AD409" i="3"/>
  <c r="AA455" i="3"/>
  <c r="Z455" i="3"/>
  <c r="Y455" i="3" s="1"/>
  <c r="AB455" i="3" s="1"/>
  <c r="J786" i="2"/>
  <c r="J803" i="2"/>
  <c r="I803" i="2"/>
  <c r="Y931" i="3"/>
  <c r="Y921" i="3"/>
  <c r="Y891" i="3"/>
  <c r="Y882" i="3"/>
  <c r="Y319" i="3"/>
  <c r="Y221" i="3"/>
  <c r="Y206" i="3"/>
  <c r="Y196" i="3"/>
  <c r="Y948" i="3"/>
  <c r="Y833" i="3"/>
  <c r="Y1054" i="3"/>
  <c r="AB1054" i="3" s="1"/>
  <c r="Y958" i="3"/>
  <c r="Y915" i="3"/>
  <c r="Y900" i="3"/>
  <c r="Y859" i="3"/>
  <c r="Y842" i="3"/>
  <c r="Y1029" i="3"/>
  <c r="Y987" i="3"/>
  <c r="Y937" i="3"/>
  <c r="Y851" i="3"/>
  <c r="Y942" i="3"/>
  <c r="Y893" i="3"/>
  <c r="Y835" i="3"/>
  <c r="AB835" i="3" s="1"/>
  <c r="Y905" i="3"/>
  <c r="Y868" i="3"/>
  <c r="Y836" i="3"/>
  <c r="AB836" i="3" s="1"/>
  <c r="Y369" i="3"/>
  <c r="Y387" i="3"/>
  <c r="Y361" i="3"/>
  <c r="Y313" i="3"/>
  <c r="Y302" i="3"/>
  <c r="Y292" i="3"/>
  <c r="Y267" i="3"/>
  <c r="Y848" i="3"/>
  <c r="AB848" i="3" s="1"/>
  <c r="Y348" i="3"/>
  <c r="Y247" i="3"/>
  <c r="Y227" i="3"/>
  <c r="Y201" i="3"/>
  <c r="Y171" i="3"/>
  <c r="Y983" i="3"/>
  <c r="AB983" i="3" s="1"/>
  <c r="Y326" i="3"/>
  <c r="Y213" i="3"/>
  <c r="Y106" i="3"/>
  <c r="Y916" i="3"/>
  <c r="Y340" i="3"/>
  <c r="Y875" i="3"/>
  <c r="AB875" i="3" s="1"/>
  <c r="Y294" i="3"/>
  <c r="AB294" i="3" s="1"/>
  <c r="O40" i="3"/>
  <c r="AE41" i="3"/>
  <c r="AF48" i="3"/>
  <c r="AH48" i="3" s="1"/>
  <c r="O49" i="3"/>
  <c r="AE50" i="3"/>
  <c r="Y59" i="3"/>
  <c r="AC60" i="3"/>
  <c r="O60" i="3"/>
  <c r="AC61" i="3"/>
  <c r="AC62" i="3"/>
  <c r="AK62" i="3"/>
  <c r="AC66" i="3"/>
  <c r="AC67" i="3"/>
  <c r="J75" i="3"/>
  <c r="S75" i="3" s="1"/>
  <c r="AD77" i="3"/>
  <c r="Y82" i="3"/>
  <c r="AC83" i="3"/>
  <c r="AC84" i="3"/>
  <c r="AC85" i="3"/>
  <c r="AK85" i="3"/>
  <c r="AC89" i="3"/>
  <c r="AC90" i="3"/>
  <c r="AC95" i="3"/>
  <c r="AC100" i="3"/>
  <c r="AC101" i="3"/>
  <c r="AD107" i="3"/>
  <c r="AD109" i="3" s="1"/>
  <c r="J116" i="3"/>
  <c r="S116" i="3" s="1"/>
  <c r="J115" i="3"/>
  <c r="S115" i="3" s="1"/>
  <c r="AK115" i="3" s="1"/>
  <c r="J114" i="3"/>
  <c r="AD129" i="3"/>
  <c r="P129" i="3"/>
  <c r="O129" i="3"/>
  <c r="Y130" i="3"/>
  <c r="AB130" i="3" s="1"/>
  <c r="Y134" i="3"/>
  <c r="I137" i="3"/>
  <c r="T137" i="3" s="1"/>
  <c r="T172" i="3"/>
  <c r="Y153" i="3"/>
  <c r="AB153" i="3" s="1"/>
  <c r="Y154" i="3"/>
  <c r="AB154" i="3" s="1"/>
  <c r="Z173" i="3"/>
  <c r="Y173" i="3" s="1"/>
  <c r="AA173" i="3"/>
  <c r="Y197" i="3"/>
  <c r="AB197" i="3" s="1"/>
  <c r="J208" i="3"/>
  <c r="Y222" i="3"/>
  <c r="AB222" i="3" s="1"/>
  <c r="P230" i="3"/>
  <c r="T230" i="3"/>
  <c r="S248" i="3"/>
  <c r="O248" i="3"/>
  <c r="AA251" i="3"/>
  <c r="Z251" i="3"/>
  <c r="Y251" i="3" s="1"/>
  <c r="AF272" i="3"/>
  <c r="AH272" i="3" s="1"/>
  <c r="W272" i="3"/>
  <c r="X272" i="3" s="1"/>
  <c r="AA273" i="3"/>
  <c r="Z273" i="3"/>
  <c r="Y273" i="3" s="1"/>
  <c r="AB273" i="3" s="1"/>
  <c r="AA305" i="3"/>
  <c r="Z305" i="3"/>
  <c r="Y305" i="3" s="1"/>
  <c r="AB305" i="3" s="1"/>
  <c r="W410" i="3"/>
  <c r="X410" i="3" s="1"/>
  <c r="AF410" i="3"/>
  <c r="AH410" i="3" s="1"/>
  <c r="S426" i="3"/>
  <c r="O426" i="3"/>
  <c r="S555" i="3"/>
  <c r="O555" i="3"/>
  <c r="P646" i="3"/>
  <c r="P834" i="3"/>
  <c r="AA834" i="3"/>
  <c r="Z834" i="3"/>
  <c r="Y834" i="3" s="1"/>
  <c r="AB834" i="3" s="1"/>
  <c r="Y218" i="3"/>
  <c r="AB218" i="3" s="1"/>
  <c r="X231" i="3"/>
  <c r="AD231" i="3"/>
  <c r="AD232" i="3"/>
  <c r="P232" i="3"/>
  <c r="Y232" i="3"/>
  <c r="AB232" i="3" s="1"/>
  <c r="X248" i="3"/>
  <c r="AD248" i="3"/>
  <c r="AH276" i="3"/>
  <c r="AD249" i="3"/>
  <c r="P249" i="3"/>
  <c r="Y249" i="3"/>
  <c r="AB249" i="3" s="1"/>
  <c r="Y268" i="3"/>
  <c r="S269" i="3"/>
  <c r="S270" i="3"/>
  <c r="AK270" i="3" s="1"/>
  <c r="O270" i="3"/>
  <c r="Y271" i="3"/>
  <c r="AB271" i="3" s="1"/>
  <c r="P293" i="3"/>
  <c r="AA293" i="3"/>
  <c r="Z293" i="3"/>
  <c r="Y293" i="3" s="1"/>
  <c r="AB293" i="3" s="1"/>
  <c r="AE295" i="3"/>
  <c r="AD295" i="3"/>
  <c r="P295" i="3"/>
  <c r="Y295" i="3"/>
  <c r="AB295" i="3" s="1"/>
  <c r="Y297" i="3"/>
  <c r="AB297" i="3" s="1"/>
  <c r="AA314" i="3"/>
  <c r="Z314" i="3"/>
  <c r="Y314" i="3" s="1"/>
  <c r="AB314" i="3" s="1"/>
  <c r="P320" i="3"/>
  <c r="X328" i="3"/>
  <c r="AD328" i="3"/>
  <c r="Y329" i="3"/>
  <c r="AB329" i="3" s="1"/>
  <c r="S372" i="3"/>
  <c r="M10" i="3" s="1"/>
  <c r="AH372" i="3"/>
  <c r="U10" i="3" s="1"/>
  <c r="W10" i="3" s="1"/>
  <c r="AA349" i="3"/>
  <c r="Z349" i="3"/>
  <c r="Y349" i="3" s="1"/>
  <c r="AB349" i="3" s="1"/>
  <c r="O410" i="3"/>
  <c r="AE410" i="3"/>
  <c r="AA421" i="3"/>
  <c r="X426" i="3"/>
  <c r="AD426" i="3"/>
  <c r="AD428" i="3" s="1"/>
  <c r="AE432" i="3"/>
  <c r="AD432" i="3"/>
  <c r="P432" i="3"/>
  <c r="Z432" i="3"/>
  <c r="Y432" i="3" s="1"/>
  <c r="AB432" i="3" s="1"/>
  <c r="T438" i="3"/>
  <c r="S438" i="3"/>
  <c r="AC456" i="3"/>
  <c r="AB456" i="3"/>
  <c r="AF461" i="3"/>
  <c r="AH461" i="3" s="1"/>
  <c r="W461" i="3"/>
  <c r="Z467" i="3"/>
  <c r="Y467" i="3" s="1"/>
  <c r="AB467" i="3" s="1"/>
  <c r="AA467" i="3"/>
  <c r="AA505" i="3"/>
  <c r="X561" i="3"/>
  <c r="AD561" i="3"/>
  <c r="AC577" i="3"/>
  <c r="AB577" i="3"/>
  <c r="AB597" i="3"/>
  <c r="S621" i="3"/>
  <c r="AK621" i="3" s="1"/>
  <c r="O621" i="3"/>
  <c r="AF624" i="3"/>
  <c r="AH624" i="3" s="1"/>
  <c r="W624" i="3"/>
  <c r="AE643" i="3"/>
  <c r="Z670" i="3"/>
  <c r="Y670" i="3" s="1"/>
  <c r="AA670" i="3"/>
  <c r="W677" i="3"/>
  <c r="X677" i="3" s="1"/>
  <c r="AF677" i="3"/>
  <c r="AH677" i="3" s="1"/>
  <c r="AD691" i="3"/>
  <c r="Z699" i="3"/>
  <c r="Y699" i="3" s="1"/>
  <c r="AA699" i="3"/>
  <c r="O873" i="3"/>
  <c r="S873" i="3"/>
  <c r="AG883" i="3"/>
  <c r="AH883" i="3"/>
  <c r="Z925" i="3"/>
  <c r="Y925" i="3" s="1"/>
  <c r="AA925" i="3"/>
  <c r="AF926" i="3"/>
  <c r="AH926" i="3" s="1"/>
  <c r="W926" i="3"/>
  <c r="X926" i="3" s="1"/>
  <c r="O968" i="3"/>
  <c r="AE968" i="3"/>
  <c r="AD968" i="3"/>
  <c r="AA1002" i="3"/>
  <c r="Z1002" i="3"/>
  <c r="Y1002" i="3" s="1"/>
  <c r="AB1002" i="3" s="1"/>
  <c r="Y1084" i="3"/>
  <c r="S1327" i="3"/>
  <c r="AK1327" i="3" s="1"/>
  <c r="O1327" i="3"/>
  <c r="AK158" i="3"/>
  <c r="J177" i="3"/>
  <c r="J173" i="3"/>
  <c r="S173" i="3" s="1"/>
  <c r="J174" i="3"/>
  <c r="S174" i="3" s="1"/>
  <c r="J175" i="3"/>
  <c r="AD173" i="3"/>
  <c r="P173" i="3"/>
  <c r="P178" i="3" s="1"/>
  <c r="S6" i="3" s="1"/>
  <c r="AE173" i="3"/>
  <c r="AF175" i="3"/>
  <c r="AH175" i="3" s="1"/>
  <c r="W175" i="3"/>
  <c r="P207" i="3"/>
  <c r="S214" i="3"/>
  <c r="O214" i="3"/>
  <c r="AK214" i="3"/>
  <c r="AA218" i="3"/>
  <c r="P231" i="3"/>
  <c r="T248" i="3"/>
  <c r="AA268" i="3"/>
  <c r="W269" i="3"/>
  <c r="AF269" i="3"/>
  <c r="AH269" i="3" s="1"/>
  <c r="O295" i="3"/>
  <c r="W296" i="3"/>
  <c r="AD297" i="3"/>
  <c r="Z304" i="3"/>
  <c r="Y304" i="3" s="1"/>
  <c r="AB304" i="3" s="1"/>
  <c r="AA304" i="3"/>
  <c r="AD316" i="3"/>
  <c r="X321" i="3"/>
  <c r="AD321" i="3"/>
  <c r="AA341" i="3"/>
  <c r="Z341" i="3"/>
  <c r="Y341" i="3" s="1"/>
  <c r="AB341" i="3" s="1"/>
  <c r="P390" i="3"/>
  <c r="T390" i="3"/>
  <c r="Y391" i="3"/>
  <c r="AB391" i="3" s="1"/>
  <c r="AH440" i="3"/>
  <c r="U12" i="3" s="1"/>
  <c r="W12" i="3" s="1"/>
  <c r="I421" i="3"/>
  <c r="T421" i="3" s="1"/>
  <c r="AA427" i="3"/>
  <c r="S455" i="3"/>
  <c r="AA456" i="3"/>
  <c r="T460" i="3"/>
  <c r="AC505" i="3"/>
  <c r="O505" i="3"/>
  <c r="AE505" i="3"/>
  <c r="AD505" i="3"/>
  <c r="X511" i="3"/>
  <c r="AD511" i="3"/>
  <c r="AA541" i="3"/>
  <c r="Z541" i="3"/>
  <c r="Y541" i="3" s="1"/>
  <c r="AB541" i="3" s="1"/>
  <c r="AA605" i="3"/>
  <c r="Z605" i="3"/>
  <c r="Y605" i="3" s="1"/>
  <c r="X626" i="3"/>
  <c r="AD626" i="3"/>
  <c r="AF657" i="3"/>
  <c r="AH657" i="3" s="1"/>
  <c r="W657" i="3"/>
  <c r="X657" i="3" s="1"/>
  <c r="AF672" i="3"/>
  <c r="AH672" i="3" s="1"/>
  <c r="W672" i="3"/>
  <c r="X672" i="3" s="1"/>
  <c r="T719" i="3"/>
  <c r="P719" i="3"/>
  <c r="W837" i="3"/>
  <c r="AF837" i="3"/>
  <c r="AH837" i="3" s="1"/>
  <c r="AF917" i="3"/>
  <c r="AH917" i="3" s="1"/>
  <c r="W917" i="3"/>
  <c r="X917" i="3" s="1"/>
  <c r="Z918" i="3"/>
  <c r="Y918" i="3" s="1"/>
  <c r="AA918" i="3"/>
  <c r="Y960" i="3"/>
  <c r="AB960" i="3" s="1"/>
  <c r="AC980" i="3"/>
  <c r="AD980" i="3"/>
  <c r="AE980" i="3"/>
  <c r="Y980" i="3"/>
  <c r="AB980" i="3" s="1"/>
  <c r="AF992" i="3"/>
  <c r="AH992" i="3" s="1"/>
  <c r="W992" i="3"/>
  <c r="X992" i="3" s="1"/>
  <c r="AE1022" i="3"/>
  <c r="P1022" i="3"/>
  <c r="Z854" i="3"/>
  <c r="Y854" i="3" s="1"/>
  <c r="AB854" i="3" s="1"/>
  <c r="AA854" i="3"/>
  <c r="AA938" i="3"/>
  <c r="Z938" i="3"/>
  <c r="Y938" i="3" s="1"/>
  <c r="AB938" i="3" s="1"/>
  <c r="S959" i="3"/>
  <c r="AK959" i="3" s="1"/>
  <c r="O959" i="3"/>
  <c r="P1128" i="3"/>
  <c r="X1128" i="3"/>
  <c r="AD1128" i="3"/>
  <c r="AF1131" i="3"/>
  <c r="AH1131" i="3" s="1"/>
  <c r="W1131" i="3"/>
  <c r="AK84" i="3"/>
  <c r="AK95" i="3"/>
  <c r="AD108" i="3"/>
  <c r="J121" i="3"/>
  <c r="S121" i="3" s="1"/>
  <c r="J135" i="3"/>
  <c r="O136" i="3"/>
  <c r="I155" i="3"/>
  <c r="T155" i="3" s="1"/>
  <c r="J156" i="3"/>
  <c r="S156" i="3" s="1"/>
  <c r="AK156" i="3" s="1"/>
  <c r="I173" i="3"/>
  <c r="T173" i="3" s="1"/>
  <c r="Z174" i="3"/>
  <c r="Y174" i="3" s="1"/>
  <c r="AB174" i="3" s="1"/>
  <c r="W207" i="3"/>
  <c r="X207" i="3" s="1"/>
  <c r="AF207" i="3"/>
  <c r="AA214" i="3"/>
  <c r="Z214" i="3"/>
  <c r="Y214" i="3" s="1"/>
  <c r="AE222" i="3"/>
  <c r="AC222" i="3"/>
  <c r="P222" i="3"/>
  <c r="AD222" i="3"/>
  <c r="Y229" i="3"/>
  <c r="AF232" i="3"/>
  <c r="AH232" i="3" s="1"/>
  <c r="J268" i="3"/>
  <c r="J250" i="3"/>
  <c r="S250" i="3" s="1"/>
  <c r="AK250" i="3" s="1"/>
  <c r="J273" i="3"/>
  <c r="S273" i="3" s="1"/>
  <c r="I270" i="3"/>
  <c r="J252" i="3"/>
  <c r="J249" i="3"/>
  <c r="S249" i="3" s="1"/>
  <c r="J271" i="3"/>
  <c r="S271" i="3" s="1"/>
  <c r="I252" i="3"/>
  <c r="AF249" i="3"/>
  <c r="AH249" i="3" s="1"/>
  <c r="I251" i="3"/>
  <c r="I253" i="3"/>
  <c r="M275" i="3"/>
  <c r="I269" i="3"/>
  <c r="O269" i="3"/>
  <c r="AF271" i="3"/>
  <c r="AH271" i="3" s="1"/>
  <c r="I272" i="3"/>
  <c r="T272" i="3" s="1"/>
  <c r="I273" i="3"/>
  <c r="T273" i="3" s="1"/>
  <c r="AD294" i="3"/>
  <c r="P294" i="3"/>
  <c r="AC294" i="3"/>
  <c r="S296" i="3"/>
  <c r="AF297" i="3"/>
  <c r="AH297" i="3" s="1"/>
  <c r="AH331" i="3" s="1"/>
  <c r="U9" i="3" s="1"/>
  <c r="W9" i="3" s="1"/>
  <c r="S305" i="3"/>
  <c r="AK305" i="3"/>
  <c r="S314" i="3"/>
  <c r="AK314" i="3" s="1"/>
  <c r="S321" i="3"/>
  <c r="O321" i="3"/>
  <c r="G388" i="3"/>
  <c r="G389" i="3"/>
  <c r="R389" i="3" s="1"/>
  <c r="G390" i="3"/>
  <c r="Z389" i="3"/>
  <c r="Y389" i="3" s="1"/>
  <c r="AA389" i="3"/>
  <c r="N391" i="3"/>
  <c r="AE391" i="3" s="1"/>
  <c r="AD391" i="3"/>
  <c r="P391" i="3"/>
  <c r="S11" i="3" s="1"/>
  <c r="AF391" i="3"/>
  <c r="AH391" i="3" s="1"/>
  <c r="AC421" i="3"/>
  <c r="AB421" i="3"/>
  <c r="AK426" i="3"/>
  <c r="AA438" i="3"/>
  <c r="Z438" i="3"/>
  <c r="Y438" i="3" s="1"/>
  <c r="AB438" i="3" s="1"/>
  <c r="T461" i="3"/>
  <c r="P461" i="3"/>
  <c r="AA466" i="3"/>
  <c r="Z466" i="3"/>
  <c r="Y466" i="3" s="1"/>
  <c r="AB466" i="3" s="1"/>
  <c r="AA489" i="3"/>
  <c r="Z489" i="3"/>
  <c r="Y489" i="3" s="1"/>
  <c r="AB489" i="3" s="1"/>
  <c r="Y14" i="3" s="1"/>
  <c r="Z14" i="3" s="1"/>
  <c r="X504" i="3"/>
  <c r="AD504" i="3"/>
  <c r="AA510" i="3"/>
  <c r="Z510" i="3"/>
  <c r="Y510" i="3" s="1"/>
  <c r="AB510" i="3" s="1"/>
  <c r="AA556" i="3"/>
  <c r="Z556" i="3"/>
  <c r="Y556" i="3" s="1"/>
  <c r="AB556" i="3" s="1"/>
  <c r="Z562" i="3"/>
  <c r="Y562" i="3" s="1"/>
  <c r="AA562" i="3"/>
  <c r="Z583" i="3"/>
  <c r="Y583" i="3" s="1"/>
  <c r="AB583" i="3" s="1"/>
  <c r="AA583" i="3"/>
  <c r="AB595" i="3"/>
  <c r="AB599" i="3"/>
  <c r="AC627" i="3"/>
  <c r="AB627" i="3"/>
  <c r="AE644" i="3"/>
  <c r="AD644" i="3"/>
  <c r="O644" i="3"/>
  <c r="Z680" i="3"/>
  <c r="Y680" i="3" s="1"/>
  <c r="AA680" i="3"/>
  <c r="AA735" i="3"/>
  <c r="Z735" i="3"/>
  <c r="Y735" i="3" s="1"/>
  <c r="AB735" i="3" s="1"/>
  <c r="AF1008" i="3"/>
  <c r="AH1008" i="3" s="1"/>
  <c r="W1008" i="3"/>
  <c r="X1008" i="3" s="1"/>
  <c r="Z1163" i="3"/>
  <c r="Y1163" i="3" s="1"/>
  <c r="AB1163" i="3" s="1"/>
  <c r="AA1163" i="3"/>
  <c r="T1186" i="3"/>
  <c r="P1186" i="3"/>
  <c r="AC176" i="3"/>
  <c r="O176" i="3"/>
  <c r="AF176" i="3"/>
  <c r="AH176" i="3" s="1"/>
  <c r="AC202" i="3"/>
  <c r="O202" i="3"/>
  <c r="AF202" i="3"/>
  <c r="AH202" i="3" s="1"/>
  <c r="AD207" i="3"/>
  <c r="O228" i="3"/>
  <c r="AF228" i="3"/>
  <c r="AH228" i="3" s="1"/>
  <c r="I249" i="3"/>
  <c r="T249" i="3" s="1"/>
  <c r="AD250" i="3"/>
  <c r="P250" i="3"/>
  <c r="AE250" i="3"/>
  <c r="AK271" i="3"/>
  <c r="J315" i="3"/>
  <c r="J304" i="3"/>
  <c r="S304" i="3" s="1"/>
  <c r="J298" i="3"/>
  <c r="S298" i="3" s="1"/>
  <c r="AK298" i="3" s="1"/>
  <c r="J294" i="3"/>
  <c r="J295" i="3"/>
  <c r="S295" i="3" s="1"/>
  <c r="I297" i="3"/>
  <c r="T297" i="3" s="1"/>
  <c r="AD298" i="3"/>
  <c r="P298" i="3"/>
  <c r="AE298" i="3"/>
  <c r="AK304" i="3"/>
  <c r="I327" i="3"/>
  <c r="AD330" i="3"/>
  <c r="J328" i="3"/>
  <c r="I329" i="3"/>
  <c r="T329" i="3" s="1"/>
  <c r="AK329" i="3"/>
  <c r="AF388" i="3"/>
  <c r="AH388" i="3" s="1"/>
  <c r="AH392" i="3" s="1"/>
  <c r="U11" i="3" s="1"/>
  <c r="W11" i="3" s="1"/>
  <c r="AJ391" i="3"/>
  <c r="I410" i="3"/>
  <c r="T410" i="3" s="1"/>
  <c r="I427" i="3"/>
  <c r="T427" i="3" s="1"/>
  <c r="J460" i="3"/>
  <c r="J461" i="3"/>
  <c r="S467" i="3"/>
  <c r="I505" i="3"/>
  <c r="T505" i="3" s="1"/>
  <c r="AK505" i="3"/>
  <c r="AE510" i="3"/>
  <c r="AD510" i="3"/>
  <c r="AF533" i="3"/>
  <c r="AH533" i="3" s="1"/>
  <c r="AE554" i="3"/>
  <c r="AC554" i="3"/>
  <c r="P554" i="3"/>
  <c r="P556" i="3" s="1"/>
  <c r="AD554" i="3"/>
  <c r="I563" i="3"/>
  <c r="T563" i="3" s="1"/>
  <c r="I561" i="3"/>
  <c r="I562" i="3"/>
  <c r="Z563" i="3"/>
  <c r="Y563" i="3" s="1"/>
  <c r="AB563" i="3" s="1"/>
  <c r="AD583" i="3"/>
  <c r="AE583" i="3"/>
  <c r="AC583" i="3"/>
  <c r="AB596" i="3"/>
  <c r="AC596" i="3"/>
  <c r="AA602" i="3"/>
  <c r="Z602" i="3"/>
  <c r="Y602" i="3" s="1"/>
  <c r="AA610" i="3"/>
  <c r="Z610" i="3"/>
  <c r="Y610" i="3" s="1"/>
  <c r="AF651" i="3"/>
  <c r="AH651" i="3" s="1"/>
  <c r="W651" i="3"/>
  <c r="X651" i="3" s="1"/>
  <c r="S678" i="3"/>
  <c r="O678" i="3"/>
  <c r="T680" i="3"/>
  <c r="W681" i="3"/>
  <c r="X681" i="3" s="1"/>
  <c r="AF681" i="3"/>
  <c r="AH681" i="3" s="1"/>
  <c r="AA688" i="3"/>
  <c r="Z688" i="3"/>
  <c r="Y688" i="3" s="1"/>
  <c r="AB688" i="3" s="1"/>
  <c r="AA704" i="3"/>
  <c r="Z704" i="3"/>
  <c r="Y704" i="3" s="1"/>
  <c r="AB704" i="3" s="1"/>
  <c r="AE725" i="3"/>
  <c r="P725" i="3"/>
  <c r="AD725" i="3"/>
  <c r="AC725" i="3"/>
  <c r="Z734" i="3"/>
  <c r="Y734" i="3" s="1"/>
  <c r="AA734" i="3"/>
  <c r="AA740" i="3"/>
  <c r="Z740" i="3"/>
  <c r="Y740" i="3" s="1"/>
  <c r="AB740" i="3" s="1"/>
  <c r="AF741" i="3"/>
  <c r="AH741" i="3" s="1"/>
  <c r="Z757" i="3"/>
  <c r="Y757" i="3" s="1"/>
  <c r="AA757" i="3"/>
  <c r="AF771" i="3"/>
  <c r="AH771" i="3" s="1"/>
  <c r="AB783" i="3"/>
  <c r="AB787" i="3"/>
  <c r="AC787" i="3"/>
  <c r="AA803" i="3"/>
  <c r="Z803" i="3"/>
  <c r="Y803" i="3" s="1"/>
  <c r="P839" i="3"/>
  <c r="T839" i="3"/>
  <c r="S843" i="3"/>
  <c r="O843" i="3"/>
  <c r="AK843" i="3"/>
  <c r="Z845" i="3"/>
  <c r="Y845" i="3" s="1"/>
  <c r="AA845" i="3"/>
  <c r="W862" i="3"/>
  <c r="X862" i="3" s="1"/>
  <c r="AF862" i="3"/>
  <c r="AH862" i="3" s="1"/>
  <c r="S864" i="3"/>
  <c r="AH873" i="3"/>
  <c r="AG873" i="3"/>
  <c r="AF878" i="3"/>
  <c r="AH878" i="3" s="1"/>
  <c r="W878" i="3"/>
  <c r="X878" i="3" s="1"/>
  <c r="W896" i="3"/>
  <c r="AF896" i="3"/>
  <c r="AH896" i="3" s="1"/>
  <c r="AF897" i="3"/>
  <c r="AH897" i="3" s="1"/>
  <c r="W897" i="3"/>
  <c r="X897" i="3" s="1"/>
  <c r="W924" i="3"/>
  <c r="X924" i="3" s="1"/>
  <c r="AF924" i="3"/>
  <c r="AH924" i="3" s="1"/>
  <c r="W927" i="3"/>
  <c r="X927" i="3" s="1"/>
  <c r="AF927" i="3"/>
  <c r="AH927" i="3" s="1"/>
  <c r="Z949" i="3"/>
  <c r="Y949" i="3" s="1"/>
  <c r="AA949" i="3"/>
  <c r="AE979" i="3"/>
  <c r="AD979" i="3"/>
  <c r="P982" i="3"/>
  <c r="AA982" i="3"/>
  <c r="Z982" i="3"/>
  <c r="Y982" i="3" s="1"/>
  <c r="AB982" i="3" s="1"/>
  <c r="Z1000" i="3"/>
  <c r="Y1000" i="3" s="1"/>
  <c r="AA1000" i="3"/>
  <c r="AH1006" i="3"/>
  <c r="Z1007" i="3"/>
  <c r="Y1007" i="3" s="1"/>
  <c r="AA1007" i="3"/>
  <c r="Z1030" i="3"/>
  <c r="Y1030" i="3" s="1"/>
  <c r="AB1030" i="3" s="1"/>
  <c r="AA1030" i="3"/>
  <c r="S1040" i="3"/>
  <c r="O1040" i="3"/>
  <c r="Z1118" i="3"/>
  <c r="Y1118" i="3" s="1"/>
  <c r="AB1118" i="3" s="1"/>
  <c r="Z1116" i="3"/>
  <c r="Y1116" i="3" s="1"/>
  <c r="AB1116" i="3" s="1"/>
  <c r="X1154" i="3"/>
  <c r="AD1154" i="3"/>
  <c r="AE172" i="3"/>
  <c r="AK174" i="3"/>
  <c r="I176" i="3"/>
  <c r="T176" i="3" s="1"/>
  <c r="P176" i="3"/>
  <c r="AK176" i="3"/>
  <c r="AD177" i="3"/>
  <c r="P177" i="3"/>
  <c r="AE177" i="3"/>
  <c r="I202" i="3"/>
  <c r="T202" i="3" s="1"/>
  <c r="AK202" i="3"/>
  <c r="O207" i="3"/>
  <c r="AD208" i="3"/>
  <c r="I214" i="3"/>
  <c r="AK222" i="3"/>
  <c r="I228" i="3"/>
  <c r="T228" i="3" s="1"/>
  <c r="P228" i="3"/>
  <c r="AD229" i="3"/>
  <c r="P229" i="3"/>
  <c r="AE229" i="3"/>
  <c r="AD230" i="3"/>
  <c r="J232" i="3"/>
  <c r="S232" i="3" s="1"/>
  <c r="AK232" i="3" s="1"/>
  <c r="O251" i="3"/>
  <c r="W252" i="3"/>
  <c r="O253" i="3"/>
  <c r="AD268" i="3"/>
  <c r="P268" i="3"/>
  <c r="AE268" i="3"/>
  <c r="AC293" i="3"/>
  <c r="O293" i="3"/>
  <c r="J297" i="3"/>
  <c r="S297" i="3" s="1"/>
  <c r="AK297" i="3" s="1"/>
  <c r="AC303" i="3"/>
  <c r="O303" i="3"/>
  <c r="I305" i="3"/>
  <c r="T305" i="3" s="1"/>
  <c r="AC314" i="3"/>
  <c r="O314" i="3"/>
  <c r="AF314" i="3"/>
  <c r="AH314" i="3" s="1"/>
  <c r="AD320" i="3"/>
  <c r="AD322" i="3" s="1"/>
  <c r="J327" i="3"/>
  <c r="X327" i="3"/>
  <c r="J329" i="3"/>
  <c r="S329" i="3" s="1"/>
  <c r="W370" i="3"/>
  <c r="X370" i="3" s="1"/>
  <c r="AD389" i="3"/>
  <c r="P389" i="3"/>
  <c r="W416" i="3"/>
  <c r="AC417" i="3"/>
  <c r="O417" i="3"/>
  <c r="AF417" i="3"/>
  <c r="AH417" i="3" s="1"/>
  <c r="AC455" i="3"/>
  <c r="O455" i="3"/>
  <c r="AF455" i="3"/>
  <c r="AH455" i="3" s="1"/>
  <c r="AG466" i="3"/>
  <c r="AC489" i="3"/>
  <c r="X14" i="3" s="1"/>
  <c r="O489" i="3"/>
  <c r="O510" i="3"/>
  <c r="AJ513" i="3"/>
  <c r="AI512" i="3" s="1"/>
  <c r="AA512" i="3"/>
  <c r="Z512" i="3"/>
  <c r="Y512" i="3" s="1"/>
  <c r="AB512" i="3" s="1"/>
  <c r="Z533" i="3"/>
  <c r="Y533" i="3" s="1"/>
  <c r="AB533" i="3" s="1"/>
  <c r="AF534" i="3"/>
  <c r="AH534" i="3" s="1"/>
  <c r="W534" i="3"/>
  <c r="X534" i="3" s="1"/>
  <c r="P541" i="3"/>
  <c r="AK541" i="3"/>
  <c r="T555" i="3"/>
  <c r="AF577" i="3"/>
  <c r="AH577" i="3" s="1"/>
  <c r="W578" i="3"/>
  <c r="X578" i="3" s="1"/>
  <c r="I584" i="3"/>
  <c r="T584" i="3" s="1"/>
  <c r="I583" i="3"/>
  <c r="T583" i="3" s="1"/>
  <c r="W584" i="3"/>
  <c r="X584" i="3" s="1"/>
  <c r="AF584" i="3"/>
  <c r="AH584" i="3" s="1"/>
  <c r="W600" i="3"/>
  <c r="X600" i="3" s="1"/>
  <c r="AA601" i="3"/>
  <c r="Z601" i="3"/>
  <c r="Y601" i="3" s="1"/>
  <c r="AA609" i="3"/>
  <c r="Z609" i="3"/>
  <c r="Y609" i="3" s="1"/>
  <c r="AA619" i="3"/>
  <c r="Z619" i="3"/>
  <c r="Y619" i="3" s="1"/>
  <c r="AB619" i="3" s="1"/>
  <c r="O620" i="3"/>
  <c r="X620" i="3"/>
  <c r="AD620" i="3"/>
  <c r="S627" i="3"/>
  <c r="AK627" i="3" s="1"/>
  <c r="O627" i="3"/>
  <c r="T629" i="3"/>
  <c r="AA629" i="3"/>
  <c r="Z629" i="3"/>
  <c r="Y629" i="3" s="1"/>
  <c r="AB629" i="3" s="1"/>
  <c r="AF630" i="3"/>
  <c r="AH630" i="3" s="1"/>
  <c r="W630" i="3"/>
  <c r="AI628" i="3"/>
  <c r="AI622" i="3"/>
  <c r="AI627" i="3"/>
  <c r="AI621" i="3"/>
  <c r="AI630" i="3"/>
  <c r="AI629" i="3"/>
  <c r="AI624" i="3"/>
  <c r="AI623" i="3"/>
  <c r="Z638" i="3"/>
  <c r="Y638" i="3" s="1"/>
  <c r="AB638" i="3" s="1"/>
  <c r="AA639" i="3"/>
  <c r="Z639" i="3"/>
  <c r="Y639" i="3" s="1"/>
  <c r="P640" i="3"/>
  <c r="AF643" i="3"/>
  <c r="AH643" i="3" s="1"/>
  <c r="W643" i="3"/>
  <c r="X643" i="3" s="1"/>
  <c r="AF663" i="3"/>
  <c r="AH663" i="3" s="1"/>
  <c r="W663" i="3"/>
  <c r="X663" i="3" s="1"/>
  <c r="AG665" i="3"/>
  <c r="AH665" i="3"/>
  <c r="W671" i="3"/>
  <c r="X671" i="3" s="1"/>
  <c r="AF671" i="3"/>
  <c r="AH671" i="3" s="1"/>
  <c r="J690" i="3"/>
  <c r="J689" i="3"/>
  <c r="S689" i="3" s="1"/>
  <c r="J680" i="3"/>
  <c r="S680" i="3" s="1"/>
  <c r="J679" i="3"/>
  <c r="S679" i="3" s="1"/>
  <c r="AK679" i="3" s="1"/>
  <c r="J682" i="3"/>
  <c r="J681" i="3"/>
  <c r="P677" i="3"/>
  <c r="AK678" i="3"/>
  <c r="AA682" i="3"/>
  <c r="Z682" i="3"/>
  <c r="Y682" i="3" s="1"/>
  <c r="AB700" i="3"/>
  <c r="AC700" i="3"/>
  <c r="AE704" i="3"/>
  <c r="P704" i="3"/>
  <c r="AD704" i="3"/>
  <c r="AD706" i="3" s="1"/>
  <c r="AC704" i="3"/>
  <c r="AF705" i="3"/>
  <c r="AH705" i="3" s="1"/>
  <c r="AB709" i="3"/>
  <c r="AC709" i="3"/>
  <c r="AA713" i="3"/>
  <c r="Z713" i="3"/>
  <c r="Y713" i="3" s="1"/>
  <c r="AB713" i="3" s="1"/>
  <c r="AA720" i="3"/>
  <c r="Z720" i="3"/>
  <c r="Y720" i="3" s="1"/>
  <c r="AB720" i="3" s="1"/>
  <c r="X733" i="3"/>
  <c r="AD733" i="3"/>
  <c r="J757" i="3"/>
  <c r="S757" i="3" s="1"/>
  <c r="J763" i="3"/>
  <c r="S763" i="3" s="1"/>
  <c r="I758" i="3"/>
  <c r="T758" i="3" s="1"/>
  <c r="I757" i="3"/>
  <c r="T757" i="3" s="1"/>
  <c r="J752" i="3"/>
  <c r="S752" i="3" s="1"/>
  <c r="J753" i="3"/>
  <c r="S753" i="3" s="1"/>
  <c r="AK753" i="3" s="1"/>
  <c r="I762" i="3"/>
  <c r="T762" i="3" s="1"/>
  <c r="J758" i="3"/>
  <c r="S758" i="3" s="1"/>
  <c r="AB752" i="3"/>
  <c r="AF782" i="3"/>
  <c r="AH782" i="3" s="1"/>
  <c r="W782" i="3"/>
  <c r="X782" i="3" s="1"/>
  <c r="AA787" i="3"/>
  <c r="Z798" i="3"/>
  <c r="Y798" i="3" s="1"/>
  <c r="AA798" i="3"/>
  <c r="AK813" i="3"/>
  <c r="Y839" i="3"/>
  <c r="Y844" i="3"/>
  <c r="AB844" i="3" s="1"/>
  <c r="AF860" i="3"/>
  <c r="AH860" i="3" s="1"/>
  <c r="W860" i="3"/>
  <c r="X860" i="3" s="1"/>
  <c r="P870" i="3"/>
  <c r="T870" i="3"/>
  <c r="Y871" i="3"/>
  <c r="AB871" i="3" s="1"/>
  <c r="T875" i="3"/>
  <c r="Z901" i="3"/>
  <c r="Y901" i="3" s="1"/>
  <c r="AB901" i="3" s="1"/>
  <c r="AA901" i="3"/>
  <c r="Y903" i="3"/>
  <c r="AA950" i="3"/>
  <c r="Z950" i="3"/>
  <c r="Y950" i="3" s="1"/>
  <c r="AA963" i="3"/>
  <c r="Z963" i="3"/>
  <c r="Y963" i="3" s="1"/>
  <c r="T983" i="3"/>
  <c r="Z993" i="3"/>
  <c r="Y993" i="3" s="1"/>
  <c r="AA993" i="3"/>
  <c r="AC1030" i="3"/>
  <c r="AE1030" i="3"/>
  <c r="AD1030" i="3"/>
  <c r="AA1034" i="3"/>
  <c r="Z1034" i="3"/>
  <c r="Y1034" i="3" s="1"/>
  <c r="AB1034" i="3" s="1"/>
  <c r="W1041" i="3"/>
  <c r="AF1041" i="3"/>
  <c r="AH1041" i="3" s="1"/>
  <c r="AD1054" i="3"/>
  <c r="P1054" i="3"/>
  <c r="AC1054" i="3"/>
  <c r="AE1054" i="3"/>
  <c r="Z1074" i="3"/>
  <c r="Y1074" i="3" s="1"/>
  <c r="AB1074" i="3" s="1"/>
  <c r="AA1074" i="3"/>
  <c r="AF1187" i="3"/>
  <c r="AH1187" i="3" s="1"/>
  <c r="W1187" i="3"/>
  <c r="Z1209" i="3"/>
  <c r="Y1209" i="3" s="1"/>
  <c r="AB1209" i="3" s="1"/>
  <c r="AA1209" i="3"/>
  <c r="I314" i="3"/>
  <c r="T314" i="3" s="1"/>
  <c r="P314" i="3"/>
  <c r="AD315" i="3"/>
  <c r="P315" i="3"/>
  <c r="AE315" i="3"/>
  <c r="O320" i="3"/>
  <c r="I321" i="3"/>
  <c r="J341" i="3"/>
  <c r="S341" i="3" s="1"/>
  <c r="N389" i="3"/>
  <c r="AE389" i="3" s="1"/>
  <c r="W390" i="3"/>
  <c r="X390" i="3" s="1"/>
  <c r="I417" i="3"/>
  <c r="T417" i="3" s="1"/>
  <c r="P417" i="3"/>
  <c r="AK417" i="3"/>
  <c r="AD421" i="3"/>
  <c r="P421" i="3"/>
  <c r="AE421" i="3"/>
  <c r="AD422" i="3"/>
  <c r="I455" i="3"/>
  <c r="T455" i="3" s="1"/>
  <c r="AD456" i="3"/>
  <c r="AD457" i="3" s="1"/>
  <c r="P456" i="3"/>
  <c r="AE456" i="3"/>
  <c r="AD460" i="3"/>
  <c r="I466" i="3"/>
  <c r="I489" i="3"/>
  <c r="AK489" i="3"/>
  <c r="AK14" i="3" s="1"/>
  <c r="P510" i="3"/>
  <c r="AC510" i="3"/>
  <c r="S527" i="3"/>
  <c r="O527" i="3"/>
  <c r="AF555" i="3"/>
  <c r="AH555" i="3" s="1"/>
  <c r="W555" i="3"/>
  <c r="S603" i="3"/>
  <c r="AK603" i="3" s="1"/>
  <c r="AA606" i="3"/>
  <c r="Z606" i="3"/>
  <c r="Y606" i="3" s="1"/>
  <c r="S611" i="3"/>
  <c r="AK611" i="3" s="1"/>
  <c r="Z637" i="3"/>
  <c r="Y637" i="3" s="1"/>
  <c r="AB637" i="3" s="1"/>
  <c r="AA637" i="3"/>
  <c r="Z644" i="3"/>
  <c r="Y644" i="3" s="1"/>
  <c r="AB644" i="3" s="1"/>
  <c r="AA644" i="3"/>
  <c r="S645" i="3"/>
  <c r="AK645" i="3" s="1"/>
  <c r="O645" i="3"/>
  <c r="AA665" i="3"/>
  <c r="Z665" i="3"/>
  <c r="Y665" i="3" s="1"/>
  <c r="AB687" i="3"/>
  <c r="AC687" i="3"/>
  <c r="AD689" i="3"/>
  <c r="AC689" i="3"/>
  <c r="AE689" i="3"/>
  <c r="O689" i="3"/>
  <c r="T694" i="3"/>
  <c r="T705" i="3"/>
  <c r="P705" i="3"/>
  <c r="AD705" i="3"/>
  <c r="X705" i="3"/>
  <c r="Z719" i="3"/>
  <c r="Y719" i="3" s="1"/>
  <c r="AA719" i="3"/>
  <c r="T741" i="3"/>
  <c r="P741" i="3"/>
  <c r="AA741" i="3"/>
  <c r="Z741" i="3"/>
  <c r="Y741" i="3" s="1"/>
  <c r="AB741" i="3" s="1"/>
  <c r="AA771" i="3"/>
  <c r="Z771" i="3"/>
  <c r="Y771" i="3" s="1"/>
  <c r="S776" i="3"/>
  <c r="AK776" i="3" s="1"/>
  <c r="AD846" i="3"/>
  <c r="P846" i="3"/>
  <c r="O846" i="3"/>
  <c r="AE846" i="3"/>
  <c r="AE883" i="3"/>
  <c r="P883" i="3"/>
  <c r="AD883" i="3"/>
  <c r="Y883" i="3"/>
  <c r="AB883" i="3" s="1"/>
  <c r="Y909" i="3"/>
  <c r="AB909" i="3" s="1"/>
  <c r="T963" i="3"/>
  <c r="P963" i="3"/>
  <c r="P971" i="3"/>
  <c r="T971" i="3"/>
  <c r="Y972" i="3"/>
  <c r="AB972" i="3" s="1"/>
  <c r="Z995" i="3"/>
  <c r="Y995" i="3" s="1"/>
  <c r="AA995" i="3"/>
  <c r="AA1004" i="3"/>
  <c r="Z1004" i="3"/>
  <c r="Y1004" i="3" s="1"/>
  <c r="AF1010" i="3"/>
  <c r="AH1010" i="3" s="1"/>
  <c r="W1010" i="3"/>
  <c r="X1010" i="3" s="1"/>
  <c r="X1023" i="3"/>
  <c r="AD1023" i="3"/>
  <c r="Z1119" i="3"/>
  <c r="Y1119" i="3" s="1"/>
  <c r="AA1119" i="3"/>
  <c r="W1120" i="3"/>
  <c r="X1120" i="3" s="1"/>
  <c r="AF1120" i="3"/>
  <c r="AH1120" i="3" s="1"/>
  <c r="Z1157" i="3"/>
  <c r="Y1157" i="3" s="1"/>
  <c r="AB1157" i="3" s="1"/>
  <c r="AA1157" i="3"/>
  <c r="AE1201" i="3"/>
  <c r="AD1201" i="3"/>
  <c r="P1201" i="3"/>
  <c r="O1201" i="3"/>
  <c r="AK798" i="3"/>
  <c r="AE836" i="3"/>
  <c r="AC836" i="3"/>
  <c r="P836" i="3"/>
  <c r="AF838" i="3"/>
  <c r="AH838" i="3" s="1"/>
  <c r="T845" i="3"/>
  <c r="S853" i="3"/>
  <c r="O853" i="3"/>
  <c r="AD860" i="3"/>
  <c r="AE860" i="3"/>
  <c r="Z861" i="3"/>
  <c r="Y861" i="3" s="1"/>
  <c r="AA861" i="3"/>
  <c r="AE862" i="3"/>
  <c r="AD862" i="3"/>
  <c r="P862" i="3"/>
  <c r="AF865" i="3"/>
  <c r="W865" i="3"/>
  <c r="X865" i="3" s="1"/>
  <c r="AD872" i="3"/>
  <c r="P872" i="3"/>
  <c r="AE872" i="3"/>
  <c r="Y872" i="3"/>
  <c r="AB872" i="3" s="1"/>
  <c r="AA873" i="3"/>
  <c r="Z873" i="3"/>
  <c r="Y873" i="3" s="1"/>
  <c r="AB873" i="3" s="1"/>
  <c r="Z874" i="3"/>
  <c r="Y874" i="3" s="1"/>
  <c r="AA874" i="3"/>
  <c r="Y877" i="3"/>
  <c r="Y885" i="3"/>
  <c r="Y886" i="3"/>
  <c r="P892" i="3"/>
  <c r="AA895" i="3"/>
  <c r="Z895" i="3"/>
  <c r="Y895" i="3" s="1"/>
  <c r="AB895" i="3" s="1"/>
  <c r="Z907" i="3"/>
  <c r="Y907" i="3" s="1"/>
  <c r="AA907" i="3"/>
  <c r="Z908" i="3"/>
  <c r="Y908" i="3" s="1"/>
  <c r="AB908" i="3" s="1"/>
  <c r="AA908" i="3"/>
  <c r="AD909" i="3"/>
  <c r="AE909" i="3"/>
  <c r="P909" i="3"/>
  <c r="S916" i="3"/>
  <c r="AK916" i="3" s="1"/>
  <c r="AK919" i="3" s="1"/>
  <c r="AL917" i="3" s="1"/>
  <c r="O916" i="3"/>
  <c r="W922" i="3"/>
  <c r="AF922" i="3"/>
  <c r="AH922" i="3" s="1"/>
  <c r="W932" i="3"/>
  <c r="AF932" i="3"/>
  <c r="AH932" i="3" s="1"/>
  <c r="AC938" i="3"/>
  <c r="P938" i="3"/>
  <c r="AD938" i="3"/>
  <c r="Y939" i="3"/>
  <c r="P941" i="3"/>
  <c r="P954" i="3"/>
  <c r="AD961" i="3"/>
  <c r="O961" i="3"/>
  <c r="AE961" i="3"/>
  <c r="Z961" i="3"/>
  <c r="Y961" i="3" s="1"/>
  <c r="AB961" i="3" s="1"/>
  <c r="AA961" i="3"/>
  <c r="AF973" i="3"/>
  <c r="AH973" i="3" s="1"/>
  <c r="W973" i="3"/>
  <c r="X973" i="3" s="1"/>
  <c r="P981" i="3"/>
  <c r="W986" i="3"/>
  <c r="X986" i="3" s="1"/>
  <c r="AF986" i="3"/>
  <c r="AH986" i="3" s="1"/>
  <c r="Y989" i="3"/>
  <c r="AD992" i="3"/>
  <c r="AE992" i="3"/>
  <c r="Z1009" i="3"/>
  <c r="Y1009" i="3" s="1"/>
  <c r="AA1009" i="3"/>
  <c r="AA1021" i="3"/>
  <c r="Z1021" i="3"/>
  <c r="Y1021" i="3" s="1"/>
  <c r="W1024" i="3"/>
  <c r="X1024" i="3" s="1"/>
  <c r="AF1024" i="3"/>
  <c r="AH1024" i="3" s="1"/>
  <c r="Z1043" i="3"/>
  <c r="Y1043" i="3" s="1"/>
  <c r="AA1043" i="3"/>
  <c r="T1060" i="3"/>
  <c r="P1060" i="3"/>
  <c r="AA1061" i="3"/>
  <c r="Z1061" i="3"/>
  <c r="Y1061" i="3" s="1"/>
  <c r="AB1061" i="3" s="1"/>
  <c r="AA1079" i="3"/>
  <c r="Z1079" i="3"/>
  <c r="Y1079" i="3" s="1"/>
  <c r="AB1079" i="3" s="1"/>
  <c r="AE1116" i="3"/>
  <c r="AC1116" i="3"/>
  <c r="AD1116" i="3"/>
  <c r="P1116" i="3"/>
  <c r="O1116" i="3"/>
  <c r="T1129" i="3"/>
  <c r="P1137" i="3"/>
  <c r="AE1142" i="3"/>
  <c r="P1142" i="3"/>
  <c r="O1142" i="3"/>
  <c r="X1150" i="3"/>
  <c r="AD1150" i="3"/>
  <c r="AF1151" i="3"/>
  <c r="AH1151" i="3" s="1"/>
  <c r="W1151" i="3"/>
  <c r="AD1157" i="3"/>
  <c r="P1157" i="3"/>
  <c r="AC1157" i="3"/>
  <c r="O1157" i="3"/>
  <c r="AE1157" i="3"/>
  <c r="AE1159" i="3"/>
  <c r="AD1159" i="3"/>
  <c r="P1159" i="3"/>
  <c r="Z1188" i="3"/>
  <c r="Y1188" i="3" s="1"/>
  <c r="AB1188" i="3" s="1"/>
  <c r="AA1188" i="3"/>
  <c r="X1210" i="3"/>
  <c r="AD1210" i="3"/>
  <c r="Z1212" i="3"/>
  <c r="Y1212" i="3" s="1"/>
  <c r="AA1212" i="3"/>
  <c r="I512" i="3"/>
  <c r="T512" i="3" s="1"/>
  <c r="I527" i="3"/>
  <c r="J554" i="3"/>
  <c r="S554" i="3" s="1"/>
  <c r="AK554" i="3" s="1"/>
  <c r="AC556" i="3"/>
  <c r="O556" i="3"/>
  <c r="AF556" i="3"/>
  <c r="AH556" i="3" s="1"/>
  <c r="I595" i="3"/>
  <c r="T595" i="3" s="1"/>
  <c r="I596" i="3"/>
  <c r="T596" i="3" s="1"/>
  <c r="I597" i="3"/>
  <c r="T597" i="3" s="1"/>
  <c r="I598" i="3"/>
  <c r="T598" i="3" s="1"/>
  <c r="I599" i="3"/>
  <c r="T599" i="3" s="1"/>
  <c r="J600" i="3"/>
  <c r="S600" i="3" s="1"/>
  <c r="AK600" i="3" s="1"/>
  <c r="J601" i="3"/>
  <c r="S601" i="3" s="1"/>
  <c r="AK601" i="3" s="1"/>
  <c r="AA604" i="3"/>
  <c r="Z604" i="3"/>
  <c r="Y604" i="3" s="1"/>
  <c r="J605" i="3"/>
  <c r="S605" i="3" s="1"/>
  <c r="AK605" i="3" s="1"/>
  <c r="AA608" i="3"/>
  <c r="Z608" i="3"/>
  <c r="Y608" i="3" s="1"/>
  <c r="J609" i="3"/>
  <c r="S609" i="3" s="1"/>
  <c r="AK609" i="3" s="1"/>
  <c r="AA612" i="3"/>
  <c r="Z612" i="3"/>
  <c r="Y612" i="3" s="1"/>
  <c r="I619" i="3"/>
  <c r="AF621" i="3"/>
  <c r="AH621" i="3" s="1"/>
  <c r="AH745" i="3" s="1"/>
  <c r="U17" i="3" s="1"/>
  <c r="W17" i="3" s="1"/>
  <c r="I624" i="3"/>
  <c r="T624" i="3" s="1"/>
  <c r="O624" i="3"/>
  <c r="AF627" i="3"/>
  <c r="AH627" i="3" s="1"/>
  <c r="I630" i="3"/>
  <c r="T630" i="3" s="1"/>
  <c r="O630" i="3"/>
  <c r="W640" i="3"/>
  <c r="X640" i="3" s="1"/>
  <c r="AF640" i="3"/>
  <c r="AH640" i="3" s="1"/>
  <c r="I642" i="3"/>
  <c r="T642" i="3" s="1"/>
  <c r="AA645" i="3"/>
  <c r="Z645" i="3"/>
  <c r="Y645" i="3" s="1"/>
  <c r="W646" i="3"/>
  <c r="X646" i="3" s="1"/>
  <c r="AF646" i="3"/>
  <c r="AH646" i="3" s="1"/>
  <c r="J651" i="3"/>
  <c r="S651" i="3" s="1"/>
  <c r="AF652" i="3"/>
  <c r="AH652" i="3" s="1"/>
  <c r="W652" i="3"/>
  <c r="X652" i="3" s="1"/>
  <c r="I657" i="3"/>
  <c r="T657" i="3" s="1"/>
  <c r="I670" i="3"/>
  <c r="T670" i="3" s="1"/>
  <c r="AK671" i="3"/>
  <c r="AF679" i="3"/>
  <c r="AH679" i="3" s="1"/>
  <c r="I681" i="3"/>
  <c r="AK688" i="3"/>
  <c r="AE713" i="3"/>
  <c r="P713" i="3"/>
  <c r="T724" i="3"/>
  <c r="P724" i="3"/>
  <c r="AD724" i="3"/>
  <c r="X724" i="3"/>
  <c r="AF724" i="3"/>
  <c r="AH724" i="3" s="1"/>
  <c r="AE740" i="3"/>
  <c r="P740" i="3"/>
  <c r="AA758" i="3"/>
  <c r="Z758" i="3"/>
  <c r="Y758" i="3" s="1"/>
  <c r="AA808" i="3"/>
  <c r="Z808" i="3"/>
  <c r="Y808" i="3" s="1"/>
  <c r="AD835" i="3"/>
  <c r="P835" i="3"/>
  <c r="AC835" i="3"/>
  <c r="O836" i="3"/>
  <c r="AD836" i="3"/>
  <c r="AF839" i="3"/>
  <c r="AH839" i="3" s="1"/>
  <c r="AF844" i="3"/>
  <c r="AH844" i="3" s="1"/>
  <c r="Z846" i="3"/>
  <c r="Y846" i="3" s="1"/>
  <c r="AA846" i="3"/>
  <c r="AE847" i="3"/>
  <c r="P847" i="3"/>
  <c r="O847" i="3"/>
  <c r="AA847" i="3"/>
  <c r="Z847" i="3"/>
  <c r="Y847" i="3" s="1"/>
  <c r="AG853" i="3"/>
  <c r="Z855" i="3"/>
  <c r="Y855" i="3" s="1"/>
  <c r="AB855" i="3" s="1"/>
  <c r="AD861" i="3"/>
  <c r="AE861" i="3"/>
  <c r="AA863" i="3"/>
  <c r="Z863" i="3"/>
  <c r="Y863" i="3" s="1"/>
  <c r="W864" i="3"/>
  <c r="X864" i="3" s="1"/>
  <c r="AF869" i="3"/>
  <c r="W869" i="3"/>
  <c r="AF888" i="3"/>
  <c r="AH888" i="3" s="1"/>
  <c r="W888" i="3"/>
  <c r="X888" i="3" s="1"/>
  <c r="S893" i="3"/>
  <c r="O893" i="3"/>
  <c r="W894" i="3"/>
  <c r="P902" i="3"/>
  <c r="W906" i="3"/>
  <c r="Z911" i="3"/>
  <c r="Y911" i="3" s="1"/>
  <c r="AB911" i="3" s="1"/>
  <c r="AE917" i="3"/>
  <c r="AD924" i="3"/>
  <c r="P927" i="3"/>
  <c r="AE938" i="3"/>
  <c r="T939" i="3"/>
  <c r="AA939" i="3"/>
  <c r="S942" i="3"/>
  <c r="AK942" i="3" s="1"/>
  <c r="O942" i="3"/>
  <c r="W943" i="3"/>
  <c r="P951" i="3"/>
  <c r="T951" i="3"/>
  <c r="Z952" i="3"/>
  <c r="Y952" i="3" s="1"/>
  <c r="AB952" i="3" s="1"/>
  <c r="AF954" i="3"/>
  <c r="AH954" i="3" s="1"/>
  <c r="AF963" i="3"/>
  <c r="AH963" i="3" s="1"/>
  <c r="Z969" i="3"/>
  <c r="Y969" i="3" s="1"/>
  <c r="AA969" i="3"/>
  <c r="AA970" i="3"/>
  <c r="Z970" i="3"/>
  <c r="Y970" i="3" s="1"/>
  <c r="AD973" i="3"/>
  <c r="AE973" i="3"/>
  <c r="AE981" i="3"/>
  <c r="O984" i="3"/>
  <c r="W984" i="3"/>
  <c r="AF984" i="3"/>
  <c r="AH984" i="3" s="1"/>
  <c r="T987" i="3"/>
  <c r="AA989" i="3"/>
  <c r="AA990" i="3"/>
  <c r="Z990" i="3"/>
  <c r="Y990" i="3" s="1"/>
  <c r="S1004" i="3"/>
  <c r="O1004" i="3"/>
  <c r="Z1005" i="3"/>
  <c r="Y1005" i="3" s="1"/>
  <c r="AA1005" i="3"/>
  <c r="Z1006" i="3"/>
  <c r="Y1006" i="3" s="1"/>
  <c r="AB1006" i="3" s="1"/>
  <c r="AD1008" i="3"/>
  <c r="AE1010" i="3"/>
  <c r="P1010" i="3"/>
  <c r="W1012" i="3"/>
  <c r="AF1012" i="3"/>
  <c r="AH1012" i="3" s="1"/>
  <c r="W1014" i="3"/>
  <c r="X1014" i="3" s="1"/>
  <c r="AF1014" i="3"/>
  <c r="AH1014" i="3" s="1"/>
  <c r="Y1015" i="3"/>
  <c r="AB1015" i="3" s="1"/>
  <c r="S1023" i="3"/>
  <c r="O1023" i="3"/>
  <c r="Z1025" i="3"/>
  <c r="Y1025" i="3" s="1"/>
  <c r="AA1025" i="3"/>
  <c r="AD1031" i="3"/>
  <c r="P1031" i="3"/>
  <c r="AA1032" i="3"/>
  <c r="Z1032" i="3"/>
  <c r="Y1032" i="3" s="1"/>
  <c r="Z1044" i="3"/>
  <c r="Y1044" i="3" s="1"/>
  <c r="AD1055" i="3"/>
  <c r="AH1054" i="3"/>
  <c r="AG1054" i="3"/>
  <c r="Z1062" i="3"/>
  <c r="Y1062" i="3" s="1"/>
  <c r="AB1062" i="3" s="1"/>
  <c r="AA1062" i="3"/>
  <c r="AF1067" i="3"/>
  <c r="W1067" i="3"/>
  <c r="AD1079" i="3"/>
  <c r="AD1115" i="3"/>
  <c r="P1115" i="3"/>
  <c r="AC1115" i="3"/>
  <c r="AE1115" i="3"/>
  <c r="Z1115" i="3"/>
  <c r="Y1115" i="3" s="1"/>
  <c r="AB1115" i="3" s="1"/>
  <c r="AA1115" i="3"/>
  <c r="AE1120" i="3"/>
  <c r="O1120" i="3"/>
  <c r="AD1120" i="3"/>
  <c r="P1120" i="3"/>
  <c r="AG1121" i="3"/>
  <c r="S1130" i="3"/>
  <c r="O1130" i="3"/>
  <c r="P1131" i="3"/>
  <c r="T1131" i="3"/>
  <c r="Z1140" i="3"/>
  <c r="Y1140" i="3" s="1"/>
  <c r="Z1149" i="3"/>
  <c r="Y1149" i="3" s="1"/>
  <c r="AB1149" i="3" s="1"/>
  <c r="AA1149" i="3"/>
  <c r="P1150" i="3"/>
  <c r="AI1160" i="3"/>
  <c r="AI1157" i="3"/>
  <c r="AI1153" i="3"/>
  <c r="AI1149" i="3"/>
  <c r="AI1159" i="3"/>
  <c r="AI1156" i="3"/>
  <c r="AI1152" i="3"/>
  <c r="AI1148" i="3"/>
  <c r="AI1154" i="3"/>
  <c r="AI1155" i="3"/>
  <c r="AI1151" i="3"/>
  <c r="AI1158" i="3"/>
  <c r="AF1168" i="3"/>
  <c r="AH1168" i="3" s="1"/>
  <c r="W1168" i="3"/>
  <c r="Z1169" i="3"/>
  <c r="Y1169" i="3" s="1"/>
  <c r="AB1169" i="3" s="1"/>
  <c r="AA1169" i="3"/>
  <c r="X1195" i="3"/>
  <c r="AD1195" i="3"/>
  <c r="AE1197" i="3"/>
  <c r="AD1197" i="3"/>
  <c r="P1197" i="3"/>
  <c r="AI1213" i="3"/>
  <c r="AI1212" i="3"/>
  <c r="AI1209" i="3"/>
  <c r="AI1211" i="3"/>
  <c r="AI1214" i="3"/>
  <c r="AI1208" i="3"/>
  <c r="AE1256" i="3"/>
  <c r="AD1256" i="3"/>
  <c r="P1256" i="3"/>
  <c r="AA1256" i="3"/>
  <c r="Z1256" i="3"/>
  <c r="Y1256" i="3" s="1"/>
  <c r="AB1256" i="3" s="1"/>
  <c r="AF1274" i="3"/>
  <c r="AH1274" i="3" s="1"/>
  <c r="W1274" i="3"/>
  <c r="W527" i="3"/>
  <c r="T533" i="3"/>
  <c r="AC541" i="3"/>
  <c r="O541" i="3"/>
  <c r="AJ557" i="3"/>
  <c r="AI555" i="3" s="1"/>
  <c r="I556" i="3"/>
  <c r="T556" i="3" s="1"/>
  <c r="AD577" i="3"/>
  <c r="J670" i="3"/>
  <c r="S670" i="3" s="1"/>
  <c r="J664" i="3"/>
  <c r="S664" i="3" s="1"/>
  <c r="AK664" i="3" s="1"/>
  <c r="AK666" i="3" s="1"/>
  <c r="AL665" i="3" s="1"/>
  <c r="J687" i="3"/>
  <c r="I682" i="3"/>
  <c r="J665" i="3"/>
  <c r="S665" i="3" s="1"/>
  <c r="I639" i="3"/>
  <c r="J636" i="3"/>
  <c r="S636" i="3" s="1"/>
  <c r="AK636" i="3" s="1"/>
  <c r="J635" i="3"/>
  <c r="I612" i="3"/>
  <c r="T612" i="3" s="1"/>
  <c r="I611" i="3"/>
  <c r="T611" i="3" s="1"/>
  <c r="I610" i="3"/>
  <c r="T610" i="3" s="1"/>
  <c r="I609" i="3"/>
  <c r="T609" i="3" s="1"/>
  <c r="I608" i="3"/>
  <c r="T608" i="3" s="1"/>
  <c r="I607" i="3"/>
  <c r="T607" i="3" s="1"/>
  <c r="I606" i="3"/>
  <c r="T606" i="3" s="1"/>
  <c r="I605" i="3"/>
  <c r="T605" i="3" s="1"/>
  <c r="I604" i="3"/>
  <c r="T604" i="3" s="1"/>
  <c r="I603" i="3"/>
  <c r="T603" i="3" s="1"/>
  <c r="I602" i="3"/>
  <c r="T602" i="3" s="1"/>
  <c r="I601" i="3"/>
  <c r="T601" i="3" s="1"/>
  <c r="I687" i="3"/>
  <c r="J672" i="3"/>
  <c r="S672" i="3" s="1"/>
  <c r="I665" i="3"/>
  <c r="T665" i="3" s="1"/>
  <c r="I635" i="3"/>
  <c r="J595" i="3"/>
  <c r="S595" i="3" s="1"/>
  <c r="J596" i="3"/>
  <c r="S596" i="3" s="1"/>
  <c r="AK596" i="3" s="1"/>
  <c r="J597" i="3"/>
  <c r="S597" i="3" s="1"/>
  <c r="AK597" i="3" s="1"/>
  <c r="J598" i="3"/>
  <c r="S598" i="3" s="1"/>
  <c r="AK598" i="3" s="1"/>
  <c r="J599" i="3"/>
  <c r="S599" i="3" s="1"/>
  <c r="AK599" i="3" s="1"/>
  <c r="AA603" i="3"/>
  <c r="Z603" i="3"/>
  <c r="Y603" i="3" s="1"/>
  <c r="J604" i="3"/>
  <c r="S604" i="3" s="1"/>
  <c r="AK604" i="3" s="1"/>
  <c r="AA607" i="3"/>
  <c r="Z607" i="3"/>
  <c r="Y607" i="3" s="1"/>
  <c r="J608" i="3"/>
  <c r="S608" i="3" s="1"/>
  <c r="AK608" i="3" s="1"/>
  <c r="AA611" i="3"/>
  <c r="Z611" i="3"/>
  <c r="Y611" i="3" s="1"/>
  <c r="J612" i="3"/>
  <c r="S612" i="3" s="1"/>
  <c r="AK612" i="3" s="1"/>
  <c r="J619" i="3"/>
  <c r="S619" i="3" s="1"/>
  <c r="I621" i="3"/>
  <c r="T621" i="3" s="1"/>
  <c r="I627" i="3"/>
  <c r="T627" i="3" s="1"/>
  <c r="AE636" i="3"/>
  <c r="P636" i="3"/>
  <c r="O636" i="3"/>
  <c r="AA636" i="3"/>
  <c r="Z636" i="3"/>
  <c r="Y636" i="3" s="1"/>
  <c r="AD637" i="3"/>
  <c r="P637" i="3"/>
  <c r="AC637" i="3"/>
  <c r="S639" i="3"/>
  <c r="AK639" i="3" s="1"/>
  <c r="O639" i="3"/>
  <c r="I643" i="3"/>
  <c r="T643" i="3" s="1"/>
  <c r="I645" i="3"/>
  <c r="T645" i="3" s="1"/>
  <c r="I652" i="3"/>
  <c r="T652" i="3" s="1"/>
  <c r="J657" i="3"/>
  <c r="S657" i="3" s="1"/>
  <c r="AF658" i="3"/>
  <c r="AH658" i="3" s="1"/>
  <c r="W658" i="3"/>
  <c r="X658" i="3" s="1"/>
  <c r="Z664" i="3"/>
  <c r="Y664" i="3" s="1"/>
  <c r="AA664" i="3"/>
  <c r="I671" i="3"/>
  <c r="I678" i="3"/>
  <c r="W678" i="3"/>
  <c r="AC679" i="3"/>
  <c r="AD679" i="3"/>
  <c r="I688" i="3"/>
  <c r="I689" i="3"/>
  <c r="T689" i="3" s="1"/>
  <c r="AH689" i="3"/>
  <c r="AG689" i="3"/>
  <c r="J694" i="3"/>
  <c r="Z694" i="3"/>
  <c r="Y694" i="3" s="1"/>
  <c r="AB694" i="3" s="1"/>
  <c r="AC713" i="3"/>
  <c r="AA729" i="3"/>
  <c r="Z729" i="3"/>
  <c r="Y729" i="3" s="1"/>
  <c r="AC740" i="3"/>
  <c r="AF762" i="3"/>
  <c r="AH762" i="3" s="1"/>
  <c r="W762" i="3"/>
  <c r="X762" i="3" s="1"/>
  <c r="Z763" i="3"/>
  <c r="Y763" i="3" s="1"/>
  <c r="AA776" i="3"/>
  <c r="Z776" i="3"/>
  <c r="Y776" i="3" s="1"/>
  <c r="S808" i="3"/>
  <c r="AF813" i="3"/>
  <c r="AH813" i="3" s="1"/>
  <c r="W813" i="3"/>
  <c r="X813" i="3" s="1"/>
  <c r="AK834" i="3"/>
  <c r="AE835" i="3"/>
  <c r="T837" i="3"/>
  <c r="Z838" i="3"/>
  <c r="Y838" i="3" s="1"/>
  <c r="W843" i="3"/>
  <c r="AC844" i="3"/>
  <c r="O844" i="3"/>
  <c r="AD844" i="3"/>
  <c r="W852" i="3"/>
  <c r="AF852" i="3"/>
  <c r="AH852" i="3" s="1"/>
  <c r="X853" i="3"/>
  <c r="AK862" i="3"/>
  <c r="T864" i="3"/>
  <c r="P864" i="3"/>
  <c r="AD873" i="3"/>
  <c r="AF876" i="3"/>
  <c r="AH876" i="3" s="1"/>
  <c r="W876" i="3"/>
  <c r="X876" i="3" s="1"/>
  <c r="AE888" i="3"/>
  <c r="O888" i="3"/>
  <c r="AE894" i="3"/>
  <c r="AD895" i="3"/>
  <c r="S903" i="3"/>
  <c r="AK903" i="3" s="1"/>
  <c r="O903" i="3"/>
  <c r="O906" i="3"/>
  <c r="AE906" i="3"/>
  <c r="AA910" i="3"/>
  <c r="Z910" i="3"/>
  <c r="Y910" i="3" s="1"/>
  <c r="AB910" i="3" s="1"/>
  <c r="AE924" i="3"/>
  <c r="T926" i="3"/>
  <c r="Z940" i="3"/>
  <c r="Y940" i="3" s="1"/>
  <c r="AB940" i="3" s="1"/>
  <c r="AA940" i="3"/>
  <c r="O943" i="3"/>
  <c r="AE943" i="3"/>
  <c r="AD953" i="3"/>
  <c r="P953" i="3"/>
  <c r="AE953" i="3"/>
  <c r="O953" i="3"/>
  <c r="Y953" i="3"/>
  <c r="AB953" i="3" s="1"/>
  <c r="AA954" i="3"/>
  <c r="Z954" i="3"/>
  <c r="Y954" i="3" s="1"/>
  <c r="AB954" i="3" s="1"/>
  <c r="Z959" i="3"/>
  <c r="Y959" i="3" s="1"/>
  <c r="AA959" i="3"/>
  <c r="Z968" i="3"/>
  <c r="Y968" i="3" s="1"/>
  <c r="AB968" i="3" s="1"/>
  <c r="AA968" i="3"/>
  <c r="AA979" i="3"/>
  <c r="Z979" i="3"/>
  <c r="Y979" i="3" s="1"/>
  <c r="AB979" i="3" s="1"/>
  <c r="AF981" i="3"/>
  <c r="AH981" i="3" s="1"/>
  <c r="W981" i="3"/>
  <c r="X981" i="3" s="1"/>
  <c r="O986" i="3"/>
  <c r="AD986" i="3"/>
  <c r="Y991" i="3"/>
  <c r="T993" i="3"/>
  <c r="P993" i="3"/>
  <c r="AA994" i="3"/>
  <c r="Z994" i="3"/>
  <c r="Y994" i="3" s="1"/>
  <c r="W1001" i="3"/>
  <c r="AF1001" i="3"/>
  <c r="AH1001" i="3" s="1"/>
  <c r="Y1003" i="3"/>
  <c r="P1005" i="3"/>
  <c r="AE1008" i="3"/>
  <c r="AD1010" i="3"/>
  <c r="X1011" i="3"/>
  <c r="AD1011" i="3"/>
  <c r="Z1013" i="3"/>
  <c r="Y1013" i="3" s="1"/>
  <c r="AB1013" i="3" s="1"/>
  <c r="AE1016" i="3"/>
  <c r="AD1016" i="3"/>
  <c r="AG1021" i="3"/>
  <c r="O1024" i="3"/>
  <c r="P1024" i="3"/>
  <c r="AE1024" i="3"/>
  <c r="AC1031" i="3"/>
  <c r="X1040" i="3"/>
  <c r="AD1040" i="3"/>
  <c r="T1041" i="3"/>
  <c r="X1042" i="3"/>
  <c r="AD1042" i="3"/>
  <c r="S1044" i="3"/>
  <c r="O1044" i="3"/>
  <c r="Y1047" i="3"/>
  <c r="T1053" i="3"/>
  <c r="P1053" i="3"/>
  <c r="X1053" i="3"/>
  <c r="Z1060" i="3"/>
  <c r="Y1060" i="3" s="1"/>
  <c r="AA1060" i="3"/>
  <c r="AF1061" i="3"/>
  <c r="AH1061" i="3" s="1"/>
  <c r="AD1062" i="3"/>
  <c r="O1062" i="3"/>
  <c r="AE1062" i="3"/>
  <c r="Y1088" i="3"/>
  <c r="AB1088" i="3" s="1"/>
  <c r="O1115" i="3"/>
  <c r="S1117" i="3"/>
  <c r="O1117" i="3"/>
  <c r="X1121" i="3"/>
  <c r="AD1121" i="3"/>
  <c r="AA1132" i="3"/>
  <c r="Z1132" i="3"/>
  <c r="Y1132" i="3" s="1"/>
  <c r="AB1132" i="3" s="1"/>
  <c r="AJ1144" i="3"/>
  <c r="AI1137" i="3"/>
  <c r="P1141" i="3"/>
  <c r="Z1141" i="3"/>
  <c r="Y1141" i="3" s="1"/>
  <c r="AB1141" i="3" s="1"/>
  <c r="AA1141" i="3"/>
  <c r="AD1142" i="3"/>
  <c r="AE1143" i="3"/>
  <c r="AD1143" i="3"/>
  <c r="P1143" i="3"/>
  <c r="AD1149" i="3"/>
  <c r="P1149" i="3"/>
  <c r="AC1149" i="3"/>
  <c r="AE1149" i="3"/>
  <c r="AF1155" i="3"/>
  <c r="AH1155" i="3" s="1"/>
  <c r="W1155" i="3"/>
  <c r="S1167" i="3"/>
  <c r="AK1167" i="3" s="1"/>
  <c r="O1167" i="3"/>
  <c r="AF1172" i="3"/>
  <c r="AH1172" i="3" s="1"/>
  <c r="W1172" i="3"/>
  <c r="AF1176" i="3"/>
  <c r="W1176" i="3"/>
  <c r="P1177" i="3"/>
  <c r="Z1196" i="3"/>
  <c r="Y1196" i="3" s="1"/>
  <c r="AB1196" i="3" s="1"/>
  <c r="AA1196" i="3"/>
  <c r="X1208" i="3"/>
  <c r="AD1208" i="3"/>
  <c r="AI1210" i="3"/>
  <c r="S1211" i="3"/>
  <c r="AK1211" i="3" s="1"/>
  <c r="O1211" i="3"/>
  <c r="AA1240" i="3"/>
  <c r="Z1240" i="3"/>
  <c r="Y1240" i="3" s="1"/>
  <c r="AB1240" i="3" s="1"/>
  <c r="J628" i="3"/>
  <c r="J622" i="3"/>
  <c r="AC621" i="3"/>
  <c r="AF636" i="3"/>
  <c r="AH636" i="3" s="1"/>
  <c r="O638" i="3"/>
  <c r="AF638" i="3"/>
  <c r="AH638" i="3" s="1"/>
  <c r="AD640" i="3"/>
  <c r="AD670" i="3"/>
  <c r="P670" i="3"/>
  <c r="AE670" i="3"/>
  <c r="AD671" i="3"/>
  <c r="AJ683" i="3"/>
  <c r="AI682" i="3" s="1"/>
  <c r="I679" i="3"/>
  <c r="T679" i="3" s="1"/>
  <c r="AD680" i="3"/>
  <c r="P680" i="3"/>
  <c r="AE680" i="3"/>
  <c r="AC694" i="3"/>
  <c r="AF704" i="3"/>
  <c r="AH704" i="3" s="1"/>
  <c r="AF713" i="3"/>
  <c r="AH713" i="3" s="1"/>
  <c r="AF725" i="3"/>
  <c r="AH725" i="3" s="1"/>
  <c r="T729" i="3"/>
  <c r="AF740" i="3"/>
  <c r="AH740" i="3" s="1"/>
  <c r="AC741" i="3"/>
  <c r="I752" i="3"/>
  <c r="T752" i="3" s="1"/>
  <c r="AF753" i="3"/>
  <c r="AH753" i="3" s="1"/>
  <c r="W753" i="3"/>
  <c r="X753" i="3" s="1"/>
  <c r="I763" i="3"/>
  <c r="T763" i="3" s="1"/>
  <c r="J771" i="3"/>
  <c r="S771" i="3" s="1"/>
  <c r="I783" i="3"/>
  <c r="T783" i="3" s="1"/>
  <c r="J792" i="3"/>
  <c r="S792" i="3" s="1"/>
  <c r="AK792" i="3" s="1"/>
  <c r="AF792" i="3"/>
  <c r="AH792" i="3" s="1"/>
  <c r="W792" i="3"/>
  <c r="X792" i="3" s="1"/>
  <c r="J803" i="3"/>
  <c r="S803" i="3" s="1"/>
  <c r="J1098" i="3"/>
  <c r="S1098" i="3" s="1"/>
  <c r="AK1098" i="3" s="1"/>
  <c r="J1074" i="3"/>
  <c r="S1074" i="3" s="1"/>
  <c r="J1062" i="3"/>
  <c r="S1062" i="3" s="1"/>
  <c r="J1054" i="3"/>
  <c r="S1054" i="3" s="1"/>
  <c r="I1045" i="3"/>
  <c r="J1043" i="3"/>
  <c r="J1031" i="3"/>
  <c r="S1031" i="3" s="1"/>
  <c r="J1025" i="3"/>
  <c r="J1020" i="3"/>
  <c r="J1067" i="3"/>
  <c r="J1061" i="3"/>
  <c r="S1061" i="3" s="1"/>
  <c r="I1047" i="3"/>
  <c r="J1045" i="3"/>
  <c r="S1045" i="3" s="1"/>
  <c r="J1033" i="3"/>
  <c r="J1032" i="3"/>
  <c r="I1029" i="3"/>
  <c r="I1016" i="3"/>
  <c r="T1016" i="3" s="1"/>
  <c r="I1014" i="3"/>
  <c r="T1014" i="3" s="1"/>
  <c r="I1012" i="3"/>
  <c r="T1012" i="3" s="1"/>
  <c r="I1010" i="3"/>
  <c r="T1010" i="3" s="1"/>
  <c r="I1008" i="3"/>
  <c r="T1008" i="3" s="1"/>
  <c r="J1003" i="3"/>
  <c r="I999" i="3"/>
  <c r="I994" i="3"/>
  <c r="I992" i="3"/>
  <c r="T992" i="3" s="1"/>
  <c r="I990" i="3"/>
  <c r="I988" i="3"/>
  <c r="T988" i="3" s="1"/>
  <c r="J983" i="3"/>
  <c r="S983" i="3" s="1"/>
  <c r="J969" i="3"/>
  <c r="S969" i="3" s="1"/>
  <c r="AK969" i="3" s="1"/>
  <c r="J961" i="3"/>
  <c r="S961" i="3" s="1"/>
  <c r="J953" i="3"/>
  <c r="S953" i="3" s="1"/>
  <c r="J949" i="3"/>
  <c r="S949" i="3" s="1"/>
  <c r="J940" i="3"/>
  <c r="S940" i="3" s="1"/>
  <c r="J939" i="3"/>
  <c r="J925" i="3"/>
  <c r="J918" i="3"/>
  <c r="S918" i="3" s="1"/>
  <c r="J911" i="3"/>
  <c r="S911" i="3" s="1"/>
  <c r="J908" i="3"/>
  <c r="J907" i="3"/>
  <c r="S907" i="3" s="1"/>
  <c r="J901" i="3"/>
  <c r="S901" i="3" s="1"/>
  <c r="J897" i="3"/>
  <c r="J896" i="3"/>
  <c r="J895" i="3"/>
  <c r="S895" i="3" s="1"/>
  <c r="J872" i="3"/>
  <c r="S872" i="3" s="1"/>
  <c r="J861" i="3"/>
  <c r="S861" i="3" s="1"/>
  <c r="AK861" i="3" s="1"/>
  <c r="J1079" i="3"/>
  <c r="S1079" i="3" s="1"/>
  <c r="I1067" i="3"/>
  <c r="I1062" i="3"/>
  <c r="T1062" i="3" s="1"/>
  <c r="I1059" i="3"/>
  <c r="J1047" i="3"/>
  <c r="I1044" i="3"/>
  <c r="J1030" i="3"/>
  <c r="S1030" i="3" s="1"/>
  <c r="I1023" i="3"/>
  <c r="I1021" i="3"/>
  <c r="I1013" i="3"/>
  <c r="I1009" i="3"/>
  <c r="J973" i="3"/>
  <c r="S973" i="3" s="1"/>
  <c r="AK973" i="3" s="1"/>
  <c r="J971" i="3"/>
  <c r="J970" i="3"/>
  <c r="J960" i="3"/>
  <c r="S960" i="3" s="1"/>
  <c r="AK960" i="3" s="1"/>
  <c r="J951" i="3"/>
  <c r="J950" i="3"/>
  <c r="I942" i="3"/>
  <c r="I916" i="3"/>
  <c r="J910" i="3"/>
  <c r="S910" i="3" s="1"/>
  <c r="AK910" i="3" s="1"/>
  <c r="I903" i="3"/>
  <c r="I893" i="3"/>
  <c r="I887" i="3"/>
  <c r="I886" i="3"/>
  <c r="I885" i="3"/>
  <c r="J883" i="3"/>
  <c r="S883" i="3" s="1"/>
  <c r="J874" i="3"/>
  <c r="J870" i="3"/>
  <c r="J869" i="3"/>
  <c r="I863" i="3"/>
  <c r="J860" i="3"/>
  <c r="S860" i="3" s="1"/>
  <c r="AK860" i="3" s="1"/>
  <c r="I855" i="3"/>
  <c r="T855" i="3" s="1"/>
  <c r="I848" i="3"/>
  <c r="T848" i="3" s="1"/>
  <c r="J846" i="3"/>
  <c r="S846" i="3" s="1"/>
  <c r="J845" i="3"/>
  <c r="J835" i="3"/>
  <c r="S835" i="3" s="1"/>
  <c r="J836" i="3"/>
  <c r="S836" i="3" s="1"/>
  <c r="J837" i="3"/>
  <c r="J838" i="3"/>
  <c r="J839" i="3"/>
  <c r="I844" i="3"/>
  <c r="T844" i="3" s="1"/>
  <c r="AD845" i="3"/>
  <c r="P845" i="3"/>
  <c r="AE845" i="3"/>
  <c r="AF847" i="3"/>
  <c r="AH847" i="3" s="1"/>
  <c r="AD848" i="3"/>
  <c r="I852" i="3"/>
  <c r="I861" i="3"/>
  <c r="T861" i="3" s="1"/>
  <c r="I862" i="3"/>
  <c r="T862" i="3" s="1"/>
  <c r="J863" i="3"/>
  <c r="O865" i="3"/>
  <c r="AD865" i="3"/>
  <c r="I869" i="3"/>
  <c r="AE873" i="3"/>
  <c r="AC873" i="3"/>
  <c r="AE877" i="3"/>
  <c r="P877" i="3"/>
  <c r="AD877" i="3"/>
  <c r="AD878" i="3"/>
  <c r="P878" i="3"/>
  <c r="AE884" i="3"/>
  <c r="O884" i="3"/>
  <c r="W884" i="3"/>
  <c r="X884" i="3" s="1"/>
  <c r="AF884" i="3"/>
  <c r="AH884" i="3" s="1"/>
  <c r="AD885" i="3"/>
  <c r="AD886" i="3"/>
  <c r="W887" i="3"/>
  <c r="AF887" i="3"/>
  <c r="AH887" i="3" s="1"/>
  <c r="I888" i="3"/>
  <c r="T888" i="3" s="1"/>
  <c r="AK892" i="3"/>
  <c r="I894" i="3"/>
  <c r="T894" i="3" s="1"/>
  <c r="AC895" i="3"/>
  <c r="P895" i="3"/>
  <c r="AE895" i="3"/>
  <c r="AD901" i="3"/>
  <c r="P901" i="3"/>
  <c r="I906" i="3"/>
  <c r="T906" i="3" s="1"/>
  <c r="AD907" i="3"/>
  <c r="P907" i="3"/>
  <c r="AH907" i="3"/>
  <c r="AG907" i="3"/>
  <c r="J909" i="3"/>
  <c r="S909" i="3" s="1"/>
  <c r="I917" i="3"/>
  <c r="T917" i="3" s="1"/>
  <c r="AD918" i="3"/>
  <c r="P918" i="3"/>
  <c r="I923" i="3"/>
  <c r="J926" i="3"/>
  <c r="I933" i="3"/>
  <c r="J938" i="3"/>
  <c r="S938" i="3" s="1"/>
  <c r="AD940" i="3"/>
  <c r="P940" i="3"/>
  <c r="AK941" i="3"/>
  <c r="I943" i="3"/>
  <c r="T943" i="3" s="1"/>
  <c r="AD949" i="3"/>
  <c r="P949" i="3"/>
  <c r="AE954" i="3"/>
  <c r="AC954" i="3"/>
  <c r="AC960" i="3"/>
  <c r="O960" i="3"/>
  <c r="AD960" i="3"/>
  <c r="AD964" i="3" s="1"/>
  <c r="AE962" i="3"/>
  <c r="O962" i="3"/>
  <c r="W962" i="3"/>
  <c r="X962" i="3" s="1"/>
  <c r="AF962" i="3"/>
  <c r="I968" i="3"/>
  <c r="T968" i="3" s="1"/>
  <c r="AD969" i="3"/>
  <c r="P969" i="3"/>
  <c r="AK972" i="3"/>
  <c r="I981" i="3"/>
  <c r="T981" i="3" s="1"/>
  <c r="AD983" i="3"/>
  <c r="P983" i="3"/>
  <c r="AC983" i="3"/>
  <c r="I985" i="3"/>
  <c r="I995" i="3"/>
  <c r="AH995" i="3"/>
  <c r="AG995" i="3"/>
  <c r="AD1002" i="3"/>
  <c r="AD1017" i="3" s="1"/>
  <c r="AC1006" i="3"/>
  <c r="AD1006" i="3"/>
  <c r="AE1014" i="3"/>
  <c r="P1014" i="3"/>
  <c r="Y1020" i="3"/>
  <c r="J1021" i="3"/>
  <c r="J1022" i="3"/>
  <c r="S1022" i="3" s="1"/>
  <c r="AK1022" i="3" s="1"/>
  <c r="W1022" i="3"/>
  <c r="X1022" i="3" s="1"/>
  <c r="AF1022" i="3"/>
  <c r="AH1022" i="3" s="1"/>
  <c r="J1029" i="3"/>
  <c r="I1030" i="3"/>
  <c r="T1030" i="3" s="1"/>
  <c r="I1031" i="3"/>
  <c r="T1031" i="3" s="1"/>
  <c r="Z1031" i="3"/>
  <c r="Y1031" i="3" s="1"/>
  <c r="AB1031" i="3" s="1"/>
  <c r="AA1031" i="3"/>
  <c r="J1041" i="3"/>
  <c r="I1043" i="3"/>
  <c r="T1043" i="3" s="1"/>
  <c r="W1046" i="3"/>
  <c r="X1046" i="3" s="1"/>
  <c r="AF1046" i="3"/>
  <c r="AH1046" i="3" s="1"/>
  <c r="J1060" i="3"/>
  <c r="AC1061" i="3"/>
  <c r="O1061" i="3"/>
  <c r="AD1061" i="3"/>
  <c r="AE1061" i="3"/>
  <c r="P1061" i="3"/>
  <c r="I1079" i="3"/>
  <c r="AK1079" i="3"/>
  <c r="I1084" i="3"/>
  <c r="AE1088" i="3"/>
  <c r="AC1088" i="3"/>
  <c r="O1088" i="3"/>
  <c r="AF1088" i="3"/>
  <c r="AH1088" i="3" s="1"/>
  <c r="I1089" i="3"/>
  <c r="AF1117" i="3"/>
  <c r="AH1117" i="3" s="1"/>
  <c r="W1117" i="3"/>
  <c r="AK1137" i="3"/>
  <c r="AA1143" i="3"/>
  <c r="Z1143" i="3"/>
  <c r="Y1143" i="3" s="1"/>
  <c r="AB1143" i="3" s="1"/>
  <c r="Z1153" i="3"/>
  <c r="Y1153" i="3" s="1"/>
  <c r="AB1153" i="3" s="1"/>
  <c r="AF1158" i="3"/>
  <c r="W1158" i="3"/>
  <c r="AA1159" i="3"/>
  <c r="Z1159" i="3"/>
  <c r="Y1159" i="3" s="1"/>
  <c r="AB1159" i="3" s="1"/>
  <c r="T1163" i="3"/>
  <c r="AE1166" i="3"/>
  <c r="AD1166" i="3"/>
  <c r="P1166" i="3"/>
  <c r="AH1173" i="3"/>
  <c r="AG1173" i="3"/>
  <c r="AF1175" i="3"/>
  <c r="AH1175" i="3" s="1"/>
  <c r="W1175" i="3"/>
  <c r="T1188" i="3"/>
  <c r="AA1189" i="3"/>
  <c r="Z1189" i="3"/>
  <c r="Y1189" i="3" s="1"/>
  <c r="AB1189" i="3" s="1"/>
  <c r="T1199" i="3"/>
  <c r="P1199" i="3"/>
  <c r="P1210" i="3"/>
  <c r="T1212" i="3"/>
  <c r="AA1252" i="3"/>
  <c r="Z1252" i="3"/>
  <c r="Y1252" i="3" s="1"/>
  <c r="AB1252" i="3" s="1"/>
  <c r="Z1280" i="3"/>
  <c r="Y1280" i="3" s="1"/>
  <c r="AB1280" i="3" s="1"/>
  <c r="AA1280" i="3"/>
  <c r="AC619" i="3"/>
  <c r="O619" i="3"/>
  <c r="AD621" i="3"/>
  <c r="AD622" i="3"/>
  <c r="AE622" i="3"/>
  <c r="AC623" i="3"/>
  <c r="O623" i="3"/>
  <c r="AD627" i="3"/>
  <c r="AD628" i="3"/>
  <c r="AE628" i="3"/>
  <c r="AC629" i="3"/>
  <c r="O629" i="3"/>
  <c r="J641" i="3"/>
  <c r="S641" i="3" s="1"/>
  <c r="AK641" i="3" s="1"/>
  <c r="J637" i="3"/>
  <c r="S637" i="3" s="1"/>
  <c r="AK637" i="3" s="1"/>
  <c r="W635" i="3"/>
  <c r="I638" i="3"/>
  <c r="T638" i="3" s="1"/>
  <c r="O640" i="3"/>
  <c r="O642" i="3"/>
  <c r="W642" i="3"/>
  <c r="J643" i="3"/>
  <c r="S643" i="3" s="1"/>
  <c r="AK643" i="3" s="1"/>
  <c r="O646" i="3"/>
  <c r="AK665" i="3"/>
  <c r="O670" i="3"/>
  <c r="O671" i="3"/>
  <c r="AD677" i="3"/>
  <c r="O680" i="3"/>
  <c r="AC688" i="3"/>
  <c r="O688" i="3"/>
  <c r="AD690" i="3"/>
  <c r="P690" i="3"/>
  <c r="AE690" i="3"/>
  <c r="AD694" i="3"/>
  <c r="AD699" i="3"/>
  <c r="AD701" i="3" s="1"/>
  <c r="AD719" i="3"/>
  <c r="AF729" i="3"/>
  <c r="AH729" i="3" s="1"/>
  <c r="AD734" i="3"/>
  <c r="AD741" i="3"/>
  <c r="AD742" i="3" s="1"/>
  <c r="AK758" i="3"/>
  <c r="I776" i="3"/>
  <c r="T776" i="3" s="1"/>
  <c r="T19" i="3" s="1"/>
  <c r="J783" i="3"/>
  <c r="S783" i="3" s="1"/>
  <c r="I798" i="3"/>
  <c r="T798" i="3" s="1"/>
  <c r="I808" i="3"/>
  <c r="T808" i="3" s="1"/>
  <c r="AK808" i="3"/>
  <c r="AC834" i="3"/>
  <c r="O834" i="3"/>
  <c r="AK836" i="3"/>
  <c r="J844" i="3"/>
  <c r="S844" i="3" s="1"/>
  <c r="AK844" i="3" s="1"/>
  <c r="J847" i="3"/>
  <c r="S847" i="3" s="1"/>
  <c r="P848" i="3"/>
  <c r="J852" i="3"/>
  <c r="I853" i="3"/>
  <c r="I860" i="3"/>
  <c r="T860" i="3" s="1"/>
  <c r="J862" i="3"/>
  <c r="S862" i="3" s="1"/>
  <c r="O864" i="3"/>
  <c r="AD864" i="3"/>
  <c r="AE865" i="3"/>
  <c r="AF870" i="3"/>
  <c r="AH870" i="3" s="1"/>
  <c r="W870" i="3"/>
  <c r="I871" i="3"/>
  <c r="I873" i="3"/>
  <c r="AD874" i="3"/>
  <c r="P874" i="3"/>
  <c r="AE875" i="3"/>
  <c r="P875" i="3"/>
  <c r="AD875" i="3"/>
  <c r="AD876" i="3"/>
  <c r="P876" i="3"/>
  <c r="I884" i="3"/>
  <c r="T884" i="3" s="1"/>
  <c r="P884" i="3"/>
  <c r="AD884" i="3"/>
  <c r="J885" i="3"/>
  <c r="J886" i="3"/>
  <c r="J887" i="3"/>
  <c r="J888" i="3"/>
  <c r="S888" i="3" s="1"/>
  <c r="AE892" i="3"/>
  <c r="O892" i="3"/>
  <c r="W892" i="3"/>
  <c r="AF892" i="3"/>
  <c r="AH892" i="3" s="1"/>
  <c r="AD893" i="3"/>
  <c r="J894" i="3"/>
  <c r="S894" i="3" s="1"/>
  <c r="AK894" i="3" s="1"/>
  <c r="O895" i="3"/>
  <c r="AK895" i="3"/>
  <c r="P896" i="3"/>
  <c r="AE902" i="3"/>
  <c r="O902" i="3"/>
  <c r="W902" i="3"/>
  <c r="AF902" i="3"/>
  <c r="AH902" i="3" s="1"/>
  <c r="AD903" i="3"/>
  <c r="J906" i="3"/>
  <c r="S906" i="3" s="1"/>
  <c r="AK906" i="3"/>
  <c r="O907" i="3"/>
  <c r="AD908" i="3"/>
  <c r="P908" i="3"/>
  <c r="AC908" i="3"/>
  <c r="I911" i="3"/>
  <c r="T911" i="3" s="1"/>
  <c r="AD916" i="3"/>
  <c r="J917" i="3"/>
  <c r="S917" i="3" s="1"/>
  <c r="AK917" i="3"/>
  <c r="O918" i="3"/>
  <c r="AE922" i="3"/>
  <c r="J923" i="3"/>
  <c r="W923" i="3"/>
  <c r="J924" i="3"/>
  <c r="S924" i="3" s="1"/>
  <c r="AK924" i="3" s="1"/>
  <c r="O927" i="3"/>
  <c r="AE932" i="3"/>
  <c r="J933" i="3"/>
  <c r="W933" i="3"/>
  <c r="AC940" i="3"/>
  <c r="AE941" i="3"/>
  <c r="O941" i="3"/>
  <c r="W941" i="3"/>
  <c r="AF941" i="3"/>
  <c r="AH941" i="3" s="1"/>
  <c r="AD942" i="3"/>
  <c r="J943" i="3"/>
  <c r="S943" i="3" s="1"/>
  <c r="AK943" i="3"/>
  <c r="O949" i="3"/>
  <c r="AE950" i="3"/>
  <c r="P950" i="3"/>
  <c r="AF951" i="3"/>
  <c r="AH951" i="3" s="1"/>
  <c r="W951" i="3"/>
  <c r="I952" i="3"/>
  <c r="O954" i="3"/>
  <c r="P960" i="3"/>
  <c r="AE960" i="3"/>
  <c r="I961" i="3"/>
  <c r="T961" i="3" s="1"/>
  <c r="I962" i="3"/>
  <c r="T962" i="3" s="1"/>
  <c r="AD962" i="3"/>
  <c r="J968" i="3"/>
  <c r="S968" i="3" s="1"/>
  <c r="AE970" i="3"/>
  <c r="P970" i="3"/>
  <c r="AF971" i="3"/>
  <c r="AH971" i="3" s="1"/>
  <c r="W971" i="3"/>
  <c r="I972" i="3"/>
  <c r="I973" i="3"/>
  <c r="T973" i="3" s="1"/>
  <c r="I979" i="3"/>
  <c r="T979" i="3" s="1"/>
  <c r="I980" i="3"/>
  <c r="T980" i="3" s="1"/>
  <c r="J981" i="3"/>
  <c r="S981" i="3" s="1"/>
  <c r="O983" i="3"/>
  <c r="AE983" i="3"/>
  <c r="AE984" i="3"/>
  <c r="J985" i="3"/>
  <c r="W985" i="3"/>
  <c r="J986" i="3"/>
  <c r="S986" i="3" s="1"/>
  <c r="P988" i="3"/>
  <c r="W988" i="3"/>
  <c r="X988" i="3" s="1"/>
  <c r="AE988" i="3"/>
  <c r="I991" i="3"/>
  <c r="W999" i="3"/>
  <c r="X999" i="3" s="1"/>
  <c r="AD999" i="3"/>
  <c r="AC1002" i="3"/>
  <c r="O1002" i="3"/>
  <c r="P1002" i="3"/>
  <c r="AE1002" i="3"/>
  <c r="I1004" i="3"/>
  <c r="P1006" i="3"/>
  <c r="AE1006" i="3"/>
  <c r="I1011" i="3"/>
  <c r="AE1012" i="3"/>
  <c r="P1012" i="3"/>
  <c r="AF1015" i="3"/>
  <c r="AH1015" i="3" s="1"/>
  <c r="W1016" i="3"/>
  <c r="X1016" i="3" s="1"/>
  <c r="AF1016" i="3"/>
  <c r="AH1016" i="3" s="1"/>
  <c r="I1020" i="3"/>
  <c r="T1020" i="3" s="1"/>
  <c r="AA1020" i="3"/>
  <c r="J1024" i="3"/>
  <c r="S1024" i="3" s="1"/>
  <c r="I1033" i="3"/>
  <c r="J1042" i="3"/>
  <c r="S1042" i="3" s="1"/>
  <c r="AD1045" i="3"/>
  <c r="W1045" i="3"/>
  <c r="X1045" i="3" s="1"/>
  <c r="AE1046" i="3"/>
  <c r="O1046" i="3"/>
  <c r="AD1046" i="3"/>
  <c r="AK1046" i="3"/>
  <c r="I1054" i="3"/>
  <c r="T1054" i="3" s="1"/>
  <c r="J1059" i="3"/>
  <c r="Z1059" i="3"/>
  <c r="Y1059" i="3" s="1"/>
  <c r="AD1074" i="3"/>
  <c r="P1074" i="3"/>
  <c r="O1074" i="3"/>
  <c r="AC1074" i="3"/>
  <c r="J1084" i="3"/>
  <c r="I1088" i="3"/>
  <c r="J1089" i="3"/>
  <c r="X1089" i="3"/>
  <c r="AD1089" i="3"/>
  <c r="AD1090" i="3" s="1"/>
  <c r="O1098" i="3"/>
  <c r="AD1098" i="3"/>
  <c r="Y1098" i="3"/>
  <c r="AB1098" i="3" s="1"/>
  <c r="S1121" i="3"/>
  <c r="AK1121" i="3" s="1"/>
  <c r="O1121" i="3"/>
  <c r="P1127" i="3"/>
  <c r="T1127" i="3"/>
  <c r="S1132" i="3"/>
  <c r="AK1132" i="3" s="1"/>
  <c r="AF1132" i="3"/>
  <c r="AH1132" i="3" s="1"/>
  <c r="Z1142" i="3"/>
  <c r="Y1142" i="3" s="1"/>
  <c r="AB1142" i="3" s="1"/>
  <c r="AA1148" i="3"/>
  <c r="Z1148" i="3"/>
  <c r="Y1148" i="3" s="1"/>
  <c r="AA1152" i="3"/>
  <c r="Z1152" i="3"/>
  <c r="Y1152" i="3" s="1"/>
  <c r="AA1153" i="3"/>
  <c r="AE1156" i="3"/>
  <c r="AD1156" i="3"/>
  <c r="P1156" i="3"/>
  <c r="T1172" i="3"/>
  <c r="P1172" i="3"/>
  <c r="T1173" i="3"/>
  <c r="Z1173" i="3"/>
  <c r="Y1173" i="3" s="1"/>
  <c r="AB1173" i="3" s="1"/>
  <c r="AE1174" i="3"/>
  <c r="AD1174" i="3"/>
  <c r="P1174" i="3"/>
  <c r="O1174" i="3"/>
  <c r="AK1176" i="3"/>
  <c r="X1177" i="3"/>
  <c r="AD1177" i="3"/>
  <c r="P1187" i="3"/>
  <c r="AE1189" i="3"/>
  <c r="AD1189" i="3"/>
  <c r="P1189" i="3"/>
  <c r="T1198" i="3"/>
  <c r="P1198" i="3"/>
  <c r="AA1201" i="3"/>
  <c r="Z1201" i="3"/>
  <c r="Y1201" i="3" s="1"/>
  <c r="AD1209" i="3"/>
  <c r="P1209" i="3"/>
  <c r="AC1209" i="3"/>
  <c r="AE1209" i="3"/>
  <c r="P1294" i="3"/>
  <c r="O1254" i="3"/>
  <c r="S1254" i="3"/>
  <c r="AK1254" i="3" s="1"/>
  <c r="AF1254" i="3"/>
  <c r="AH1254" i="3" s="1"/>
  <c r="W1254" i="3"/>
  <c r="T1284" i="3"/>
  <c r="P1284" i="3"/>
  <c r="T1302" i="3"/>
  <c r="P1302" i="3"/>
  <c r="X1304" i="3"/>
  <c r="AD1304" i="3"/>
  <c r="AK173" i="3"/>
  <c r="AK229" i="3"/>
  <c r="AK272" i="3"/>
  <c r="AK349" i="3"/>
  <c r="AK362" i="3"/>
  <c r="AK370" i="3"/>
  <c r="AJ389" i="3"/>
  <c r="AK657" i="3"/>
  <c r="AK680" i="3"/>
  <c r="I700" i="3"/>
  <c r="I709" i="3"/>
  <c r="I720" i="3"/>
  <c r="T720" i="3" s="1"/>
  <c r="I735" i="3"/>
  <c r="T735" i="3" s="1"/>
  <c r="AK763" i="3"/>
  <c r="AK771" i="3"/>
  <c r="AK783" i="3"/>
  <c r="AK803" i="3"/>
  <c r="AK835" i="3"/>
  <c r="I865" i="3"/>
  <c r="T865" i="3" s="1"/>
  <c r="AC871" i="3"/>
  <c r="O871" i="3"/>
  <c r="P897" i="3"/>
  <c r="AD897" i="3"/>
  <c r="I924" i="3"/>
  <c r="T924" i="3" s="1"/>
  <c r="AD925" i="3"/>
  <c r="P925" i="3"/>
  <c r="AE925" i="3"/>
  <c r="AD926" i="3"/>
  <c r="I938" i="3"/>
  <c r="T938" i="3" s="1"/>
  <c r="AD939" i="3"/>
  <c r="P939" i="3"/>
  <c r="AE939" i="3"/>
  <c r="AC952" i="3"/>
  <c r="O952" i="3"/>
  <c r="AD963" i="3"/>
  <c r="AC972" i="3"/>
  <c r="O972" i="3"/>
  <c r="O982" i="3"/>
  <c r="I986" i="3"/>
  <c r="T986" i="3" s="1"/>
  <c r="AD1000" i="3"/>
  <c r="AE1001" i="3"/>
  <c r="P1001" i="3"/>
  <c r="I1002" i="3"/>
  <c r="T1002" i="3" s="1"/>
  <c r="AD1003" i="3"/>
  <c r="P1003" i="3"/>
  <c r="AE1003" i="3"/>
  <c r="AD1004" i="3"/>
  <c r="AD1007" i="3"/>
  <c r="AD1029" i="3"/>
  <c r="AE1032" i="3"/>
  <c r="P1032" i="3"/>
  <c r="AF1033" i="3"/>
  <c r="AH1033" i="3" s="1"/>
  <c r="W1033" i="3"/>
  <c r="I1034" i="3"/>
  <c r="AE1041" i="3"/>
  <c r="O1042" i="3"/>
  <c r="AE1042" i="3"/>
  <c r="I1046" i="3"/>
  <c r="T1046" i="3" s="1"/>
  <c r="AF1094" i="3"/>
  <c r="AH1094" i="3" s="1"/>
  <c r="W1094" i="3"/>
  <c r="X1094" i="3" s="1"/>
  <c r="AF1118" i="3"/>
  <c r="AH1118" i="3" s="1"/>
  <c r="AF1127" i="3"/>
  <c r="AH1127" i="3" s="1"/>
  <c r="W1127" i="3"/>
  <c r="AD1129" i="3"/>
  <c r="P1129" i="3"/>
  <c r="AE1129" i="3"/>
  <c r="AA1130" i="3"/>
  <c r="Z1130" i="3"/>
  <c r="Y1130" i="3" s="1"/>
  <c r="AB1130" i="3" s="1"/>
  <c r="AF1130" i="3"/>
  <c r="AH1130" i="3" s="1"/>
  <c r="AC1132" i="3"/>
  <c r="O1132" i="3"/>
  <c r="P1132" i="3"/>
  <c r="Z1133" i="3"/>
  <c r="Y1133" i="3" s="1"/>
  <c r="AE1137" i="3"/>
  <c r="O1137" i="3"/>
  <c r="W1137" i="3"/>
  <c r="X1137" i="3" s="1"/>
  <c r="AF1137" i="3"/>
  <c r="AD1137" i="3"/>
  <c r="AA1139" i="3"/>
  <c r="Z1139" i="3"/>
  <c r="Y1139" i="3" s="1"/>
  <c r="AC1141" i="3"/>
  <c r="O1141" i="3"/>
  <c r="AD1141" i="3"/>
  <c r="AG1141" i="3"/>
  <c r="AE1141" i="3"/>
  <c r="P1158" i="3"/>
  <c r="Z1160" i="3"/>
  <c r="Y1160" i="3" s="1"/>
  <c r="AB1160" i="3" s="1"/>
  <c r="AD1169" i="3"/>
  <c r="P1169" i="3"/>
  <c r="AC1169" i="3"/>
  <c r="S1173" i="3"/>
  <c r="T1175" i="3"/>
  <c r="P1175" i="3"/>
  <c r="T1176" i="3"/>
  <c r="P1176" i="3"/>
  <c r="Z1181" i="3"/>
  <c r="Y1181" i="3" s="1"/>
  <c r="AB1181" i="3" s="1"/>
  <c r="AA1181" i="3"/>
  <c r="AD1196" i="3"/>
  <c r="P1196" i="3"/>
  <c r="AC1196" i="3"/>
  <c r="AF1198" i="3"/>
  <c r="AH1198" i="3" s="1"/>
  <c r="W1198" i="3"/>
  <c r="AF1199" i="3"/>
  <c r="AH1199" i="3" s="1"/>
  <c r="W1199" i="3"/>
  <c r="O1222" i="3"/>
  <c r="S1222" i="3"/>
  <c r="AK1222" i="3" s="1"/>
  <c r="AF1222" i="3"/>
  <c r="AH1222" i="3" s="1"/>
  <c r="W1222" i="3"/>
  <c r="P1243" i="3"/>
  <c r="T1243" i="3"/>
  <c r="AF1246" i="3"/>
  <c r="AH1246" i="3" s="1"/>
  <c r="W1246" i="3"/>
  <c r="AA1263" i="3"/>
  <c r="Z1263" i="3"/>
  <c r="Y1263" i="3" s="1"/>
  <c r="Z1283" i="3"/>
  <c r="Y1283" i="3" s="1"/>
  <c r="AB1283" i="3" s="1"/>
  <c r="AA1283" i="3"/>
  <c r="AK873" i="3"/>
  <c r="AK909" i="3"/>
  <c r="AK918" i="3"/>
  <c r="AK940" i="3"/>
  <c r="AK961" i="3"/>
  <c r="AC1015" i="3"/>
  <c r="AD1020" i="3"/>
  <c r="P1020" i="3"/>
  <c r="AE1020" i="3"/>
  <c r="AD1021" i="3"/>
  <c r="I1024" i="3"/>
  <c r="T1024" i="3" s="1"/>
  <c r="AD1025" i="3"/>
  <c r="P1025" i="3"/>
  <c r="AE1025" i="3"/>
  <c r="O1034" i="3"/>
  <c r="I1042" i="3"/>
  <c r="T1042" i="3" s="1"/>
  <c r="AD1043" i="3"/>
  <c r="P1043" i="3"/>
  <c r="AE1043" i="3"/>
  <c r="AD1044" i="3"/>
  <c r="O1053" i="3"/>
  <c r="AK1054" i="3"/>
  <c r="AD1059" i="3"/>
  <c r="AD1063" i="3" s="1"/>
  <c r="AC1079" i="3"/>
  <c r="O1079" i="3"/>
  <c r="P1094" i="3"/>
  <c r="AD1094" i="3"/>
  <c r="I1098" i="3"/>
  <c r="AK1117" i="3"/>
  <c r="AC1118" i="3"/>
  <c r="O1118" i="3"/>
  <c r="P1118" i="3"/>
  <c r="AE1118" i="3"/>
  <c r="Z1129" i="3"/>
  <c r="Y1129" i="3" s="1"/>
  <c r="AB1129" i="3" s="1"/>
  <c r="AE1130" i="3"/>
  <c r="AC1130" i="3"/>
  <c r="AF1138" i="3"/>
  <c r="AH1138" i="3" s="1"/>
  <c r="W1138" i="3"/>
  <c r="AE1139" i="3"/>
  <c r="P1139" i="3"/>
  <c r="AD1140" i="3"/>
  <c r="P1140" i="3"/>
  <c r="AE1152" i="3"/>
  <c r="AD1152" i="3"/>
  <c r="P1152" i="3"/>
  <c r="S1154" i="3"/>
  <c r="AK1154" i="3" s="1"/>
  <c r="AA1156" i="3"/>
  <c r="Z1156" i="3"/>
  <c r="Y1156" i="3" s="1"/>
  <c r="AD1160" i="3"/>
  <c r="P1160" i="3"/>
  <c r="AC1160" i="3"/>
  <c r="AA1164" i="3"/>
  <c r="Z1164" i="3"/>
  <c r="Y1164" i="3" s="1"/>
  <c r="AB1164" i="3" s="1"/>
  <c r="Z1165" i="3"/>
  <c r="Y1165" i="3" s="1"/>
  <c r="AB1165" i="3" s="1"/>
  <c r="AA1166" i="3"/>
  <c r="Z1166" i="3"/>
  <c r="Y1166" i="3" s="1"/>
  <c r="AB1166" i="3" s="1"/>
  <c r="AA1174" i="3"/>
  <c r="Z1174" i="3"/>
  <c r="Y1174" i="3" s="1"/>
  <c r="AB1174" i="3" s="1"/>
  <c r="AG1177" i="3"/>
  <c r="AD1181" i="3"/>
  <c r="P1181" i="3"/>
  <c r="AF1186" i="3"/>
  <c r="AH1186" i="3" s="1"/>
  <c r="W1186" i="3"/>
  <c r="T1195" i="3"/>
  <c r="P1195" i="3"/>
  <c r="T1196" i="3"/>
  <c r="AA1197" i="3"/>
  <c r="Z1197" i="3"/>
  <c r="Y1197" i="3" s="1"/>
  <c r="AB1197" i="3" s="1"/>
  <c r="Z1200" i="3"/>
  <c r="Y1200" i="3" s="1"/>
  <c r="AB1200" i="3" s="1"/>
  <c r="S1208" i="3"/>
  <c r="AG1208" i="3"/>
  <c r="AH1208" i="3"/>
  <c r="AF1211" i="3"/>
  <c r="W1211" i="3"/>
  <c r="O1214" i="3"/>
  <c r="S1214" i="3"/>
  <c r="AK1214" i="3" s="1"/>
  <c r="AF1214" i="3"/>
  <c r="AH1214" i="3" s="1"/>
  <c r="W1214" i="3"/>
  <c r="AF1250" i="3"/>
  <c r="AH1250" i="3" s="1"/>
  <c r="W1250" i="3"/>
  <c r="T1253" i="3"/>
  <c r="AE1260" i="3"/>
  <c r="AD1260" i="3"/>
  <c r="P1260" i="3"/>
  <c r="O1260" i="3"/>
  <c r="AA1260" i="3"/>
  <c r="Z1260" i="3"/>
  <c r="Y1260" i="3" s="1"/>
  <c r="AB1260" i="3" s="1"/>
  <c r="AA1275" i="3"/>
  <c r="Z1275" i="3"/>
  <c r="Y1275" i="3" s="1"/>
  <c r="S1298" i="3"/>
  <c r="AK1298" i="3" s="1"/>
  <c r="O1298" i="3"/>
  <c r="AD1280" i="3"/>
  <c r="P1280" i="3"/>
  <c r="AC1280" i="3"/>
  <c r="AE1280" i="3"/>
  <c r="Z1290" i="3"/>
  <c r="Y1290" i="3" s="1"/>
  <c r="AB1290" i="3" s="1"/>
  <c r="AA1290" i="3"/>
  <c r="AK1074" i="3"/>
  <c r="K1225" i="3"/>
  <c r="T1118" i="3"/>
  <c r="AK1118" i="3"/>
  <c r="AD1119" i="3"/>
  <c r="P1119" i="3"/>
  <c r="AE1119" i="3"/>
  <c r="S1127" i="3"/>
  <c r="O1128" i="3"/>
  <c r="T1132" i="3"/>
  <c r="AD1133" i="3"/>
  <c r="P1133" i="3"/>
  <c r="AE1133" i="3"/>
  <c r="S1138" i="3"/>
  <c r="AK1138" i="3" s="1"/>
  <c r="AE1148" i="3"/>
  <c r="AD1148" i="3"/>
  <c r="P1148" i="3"/>
  <c r="AD1153" i="3"/>
  <c r="P1153" i="3"/>
  <c r="AC1153" i="3"/>
  <c r="O1153" i="3"/>
  <c r="AE1153" i="3"/>
  <c r="T1154" i="3"/>
  <c r="P1154" i="3"/>
  <c r="AD1163" i="3"/>
  <c r="P1163" i="3"/>
  <c r="AC1163" i="3"/>
  <c r="AE1163" i="3"/>
  <c r="AD1165" i="3"/>
  <c r="P1165" i="3"/>
  <c r="O1165" i="3"/>
  <c r="AE1165" i="3"/>
  <c r="AF1167" i="3"/>
  <c r="AH1167" i="3" s="1"/>
  <c r="W1167" i="3"/>
  <c r="T1168" i="3"/>
  <c r="P1168" i="3"/>
  <c r="AK1172" i="3"/>
  <c r="T1181" i="3"/>
  <c r="AJ1190" i="3"/>
  <c r="AD1188" i="3"/>
  <c r="P1188" i="3"/>
  <c r="AC1188" i="3"/>
  <c r="O1188" i="3"/>
  <c r="AE1188" i="3"/>
  <c r="J1213" i="3"/>
  <c r="S1213" i="3" s="1"/>
  <c r="AK1213" i="3" s="1"/>
  <c r="J1212" i="3"/>
  <c r="S1212" i="3" s="1"/>
  <c r="AK1212" i="3" s="1"/>
  <c r="J1200" i="3"/>
  <c r="S1200" i="3" s="1"/>
  <c r="AK1200" i="3" s="1"/>
  <c r="J1201" i="3"/>
  <c r="S1201" i="3" s="1"/>
  <c r="AK1201" i="3" s="1"/>
  <c r="AD1200" i="3"/>
  <c r="P1200" i="3"/>
  <c r="AE1200" i="3"/>
  <c r="T1208" i="3"/>
  <c r="P1208" i="3"/>
  <c r="T1209" i="3"/>
  <c r="Z1245" i="3"/>
  <c r="Y1245" i="3" s="1"/>
  <c r="AB1245" i="3" s="1"/>
  <c r="O1262" i="3"/>
  <c r="S1262" i="3"/>
  <c r="AK1262" i="3" s="1"/>
  <c r="AD1290" i="3"/>
  <c r="AE1290" i="3"/>
  <c r="I1222" i="3"/>
  <c r="J1221" i="3"/>
  <c r="S1221" i="3" s="1"/>
  <c r="I1214" i="3"/>
  <c r="J1115" i="3"/>
  <c r="S1115" i="3" s="1"/>
  <c r="AK1115" i="3"/>
  <c r="J1119" i="3"/>
  <c r="J1129" i="3"/>
  <c r="S1129" i="3" s="1"/>
  <c r="J1133" i="3"/>
  <c r="J1140" i="3"/>
  <c r="J1143" i="3"/>
  <c r="S1143" i="3" s="1"/>
  <c r="AK1143" i="3" s="1"/>
  <c r="J1148" i="3"/>
  <c r="J1152" i="3"/>
  <c r="J1156" i="3"/>
  <c r="S1156" i="3" s="1"/>
  <c r="AK1156" i="3" s="1"/>
  <c r="J1159" i="3"/>
  <c r="S1159" i="3" s="1"/>
  <c r="AK1159" i="3" s="1"/>
  <c r="J1164" i="3"/>
  <c r="S1164" i="3" s="1"/>
  <c r="AF1164" i="3"/>
  <c r="AH1164" i="3" s="1"/>
  <c r="J1166" i="3"/>
  <c r="S1166" i="3" s="1"/>
  <c r="AK1166" i="3" s="1"/>
  <c r="J1174" i="3"/>
  <c r="S1174" i="3" s="1"/>
  <c r="J1189" i="3"/>
  <c r="S1189" i="3" s="1"/>
  <c r="AK1189" i="3" s="1"/>
  <c r="J1197" i="3"/>
  <c r="S1197" i="3" s="1"/>
  <c r="AE1212" i="3"/>
  <c r="AD1212" i="3"/>
  <c r="P1212" i="3"/>
  <c r="Z1213" i="3"/>
  <c r="Y1213" i="3" s="1"/>
  <c r="AB1213" i="3" s="1"/>
  <c r="I1221" i="3"/>
  <c r="T1221" i="3" s="1"/>
  <c r="O1242" i="3"/>
  <c r="S1242" i="3"/>
  <c r="AK1242" i="3" s="1"/>
  <c r="AE1244" i="3"/>
  <c r="AD1244" i="3"/>
  <c r="P1244" i="3"/>
  <c r="AC1244" i="3"/>
  <c r="Z1253" i="3"/>
  <c r="Y1253" i="3" s="1"/>
  <c r="AB1253" i="3" s="1"/>
  <c r="T1261" i="3"/>
  <c r="AF1262" i="3"/>
  <c r="AH1262" i="3" s="1"/>
  <c r="W1262" i="3"/>
  <c r="Z1272" i="3"/>
  <c r="Y1272" i="3" s="1"/>
  <c r="AB1272" i="3" s="1"/>
  <c r="AA1272" i="3"/>
  <c r="X1281" i="3"/>
  <c r="AD1281" i="3"/>
  <c r="T1282" i="3"/>
  <c r="P1282" i="3"/>
  <c r="AA1289" i="3"/>
  <c r="Z1289" i="3"/>
  <c r="Y1289" i="3" s="1"/>
  <c r="AB1289" i="3" s="1"/>
  <c r="Z1293" i="3"/>
  <c r="Y1293" i="3" s="1"/>
  <c r="AB1293" i="3" s="1"/>
  <c r="AA1293" i="3"/>
  <c r="S1295" i="3"/>
  <c r="AK1295" i="3" s="1"/>
  <c r="O1295" i="3"/>
  <c r="P1297" i="3"/>
  <c r="J1149" i="3"/>
  <c r="S1149" i="3" s="1"/>
  <c r="AK1149" i="3" s="1"/>
  <c r="O1150" i="3"/>
  <c r="J1153" i="3"/>
  <c r="S1153" i="3" s="1"/>
  <c r="AK1153" i="3" s="1"/>
  <c r="O1154" i="3"/>
  <c r="J1157" i="3"/>
  <c r="S1157" i="3" s="1"/>
  <c r="AK1157" i="3" s="1"/>
  <c r="O1158" i="3"/>
  <c r="J1160" i="3"/>
  <c r="S1160" i="3" s="1"/>
  <c r="AK1160" i="3" s="1"/>
  <c r="J1163" i="3"/>
  <c r="S1163" i="3" s="1"/>
  <c r="J1165" i="3"/>
  <c r="S1165" i="3" s="1"/>
  <c r="O1168" i="3"/>
  <c r="J1169" i="3"/>
  <c r="S1169" i="3" s="1"/>
  <c r="AK1169" i="3" s="1"/>
  <c r="O1176" i="3"/>
  <c r="O1177" i="3"/>
  <c r="J1181" i="3"/>
  <c r="S1181" i="3" s="1"/>
  <c r="AK1181" i="3" s="1"/>
  <c r="O1187" i="3"/>
  <c r="J1188" i="3"/>
  <c r="S1188" i="3" s="1"/>
  <c r="AK1188" i="3"/>
  <c r="O1195" i="3"/>
  <c r="J1196" i="3"/>
  <c r="S1196" i="3" s="1"/>
  <c r="O1199" i="3"/>
  <c r="O1208" i="3"/>
  <c r="J1209" i="3"/>
  <c r="S1209" i="3" s="1"/>
  <c r="AK1209" i="3" s="1"/>
  <c r="O1210" i="3"/>
  <c r="AD1213" i="3"/>
  <c r="AA1213" i="3"/>
  <c r="AI1221" i="3"/>
  <c r="X1221" i="3"/>
  <c r="AE1240" i="3"/>
  <c r="AD1240" i="3"/>
  <c r="P1240" i="3"/>
  <c r="AC1240" i="3"/>
  <c r="Z1241" i="3"/>
  <c r="Y1241" i="3" s="1"/>
  <c r="AB1241" i="3" s="1"/>
  <c r="AF1242" i="3"/>
  <c r="AH1242" i="3" s="1"/>
  <c r="W1242" i="3"/>
  <c r="AA1244" i="3"/>
  <c r="Z1244" i="3"/>
  <c r="Y1244" i="3" s="1"/>
  <c r="AB1244" i="3" s="1"/>
  <c r="T1245" i="3"/>
  <c r="O1246" i="3"/>
  <c r="S1246" i="3"/>
  <c r="AK1246" i="3" s="1"/>
  <c r="O1250" i="3"/>
  <c r="S1250" i="3"/>
  <c r="T1251" i="3"/>
  <c r="AE1252" i="3"/>
  <c r="AD1252" i="3"/>
  <c r="P1252" i="3"/>
  <c r="AC1252" i="3"/>
  <c r="AD1253" i="3"/>
  <c r="AA1253" i="3"/>
  <c r="Z1261" i="3"/>
  <c r="Y1261" i="3" s="1"/>
  <c r="AB1261" i="3" s="1"/>
  <c r="AA1271" i="3"/>
  <c r="Z1271" i="3"/>
  <c r="Y1271" i="3" s="1"/>
  <c r="X1273" i="3"/>
  <c r="AD1273" i="3"/>
  <c r="T1274" i="3"/>
  <c r="P1274" i="3"/>
  <c r="Z1276" i="3"/>
  <c r="Y1276" i="3" s="1"/>
  <c r="AB1276" i="3" s="1"/>
  <c r="AA1276" i="3"/>
  <c r="AF1282" i="3"/>
  <c r="W1282" i="3"/>
  <c r="S1285" i="3"/>
  <c r="AK1285" i="3" s="1"/>
  <c r="O1285" i="3"/>
  <c r="AE1289" i="3"/>
  <c r="AD1289" i="3"/>
  <c r="P1289" i="3"/>
  <c r="AC1289" i="3"/>
  <c r="AA1292" i="3"/>
  <c r="Z1292" i="3"/>
  <c r="Y1292" i="3" s="1"/>
  <c r="J1243" i="3"/>
  <c r="J1251" i="3"/>
  <c r="AD1251" i="3"/>
  <c r="J1255" i="3"/>
  <c r="P1255" i="3"/>
  <c r="AD1255" i="3"/>
  <c r="AD1272" i="3"/>
  <c r="AC1272" i="3"/>
  <c r="AE1272" i="3"/>
  <c r="I1273" i="3"/>
  <c r="J1274" i="3"/>
  <c r="AD1276" i="3"/>
  <c r="P1276" i="3"/>
  <c r="AE1276" i="3"/>
  <c r="AI1276" i="3"/>
  <c r="AI1272" i="3"/>
  <c r="AI1275" i="3"/>
  <c r="AI1271" i="3"/>
  <c r="I1281" i="3"/>
  <c r="J1282" i="3"/>
  <c r="I1283" i="3"/>
  <c r="T1283" i="3" s="1"/>
  <c r="J1284" i="3"/>
  <c r="S1284" i="3" s="1"/>
  <c r="AK1284" i="3" s="1"/>
  <c r="AH1290" i="3"/>
  <c r="AG1290" i="3"/>
  <c r="I1291" i="3"/>
  <c r="AF1291" i="3"/>
  <c r="AH1291" i="3" s="1"/>
  <c r="W1291" i="3"/>
  <c r="I1293" i="3"/>
  <c r="T1293" i="3" s="1"/>
  <c r="AE1296" i="3"/>
  <c r="AD1296" i="3"/>
  <c r="P1296" i="3"/>
  <c r="AF1302" i="3"/>
  <c r="W1302" i="3"/>
  <c r="I1306" i="3"/>
  <c r="T1306" i="3" s="1"/>
  <c r="AA1313" i="3"/>
  <c r="Z1313" i="3"/>
  <c r="Y1313" i="3" s="1"/>
  <c r="Z1314" i="3"/>
  <c r="Y1314" i="3" s="1"/>
  <c r="AB1314" i="3" s="1"/>
  <c r="AA1314" i="3"/>
  <c r="O1213" i="3"/>
  <c r="O1221" i="3"/>
  <c r="J1356" i="3"/>
  <c r="J1343" i="3"/>
  <c r="J1334" i="3"/>
  <c r="I1356" i="3"/>
  <c r="T1356" i="3" s="1"/>
  <c r="J1355" i="3"/>
  <c r="S1355" i="3" s="1"/>
  <c r="I1347" i="3"/>
  <c r="T1347" i="3" s="1"/>
  <c r="J1346" i="3"/>
  <c r="S1346" i="3" s="1"/>
  <c r="AK1346" i="3" s="1"/>
  <c r="I1343" i="3"/>
  <c r="T1343" i="3" s="1"/>
  <c r="J1342" i="3"/>
  <c r="S1342" i="3" s="1"/>
  <c r="AK1342" i="3" s="1"/>
  <c r="J1345" i="3"/>
  <c r="J1341" i="3"/>
  <c r="J1336" i="3"/>
  <c r="J1333" i="3"/>
  <c r="J1332" i="3"/>
  <c r="S1332" i="3" s="1"/>
  <c r="AK1332" i="3" s="1"/>
  <c r="J1325" i="3"/>
  <c r="S1325" i="3" s="1"/>
  <c r="J1317" i="3"/>
  <c r="S1317" i="3" s="1"/>
  <c r="AK1317" i="3" s="1"/>
  <c r="J1314" i="3"/>
  <c r="S1314" i="3" s="1"/>
  <c r="AK1314" i="3" s="1"/>
  <c r="J1344" i="3"/>
  <c r="S1344" i="3" s="1"/>
  <c r="AK1344" i="3" s="1"/>
  <c r="I1341" i="3"/>
  <c r="T1341" i="3" s="1"/>
  <c r="I1336" i="3"/>
  <c r="T1336" i="3" s="1"/>
  <c r="I1334" i="3"/>
  <c r="T1334" i="3" s="1"/>
  <c r="I1333" i="3"/>
  <c r="T1333" i="3" s="1"/>
  <c r="J1326" i="3"/>
  <c r="S1326" i="3" s="1"/>
  <c r="AK1326" i="3" s="1"/>
  <c r="J1316" i="3"/>
  <c r="S1316" i="3" s="1"/>
  <c r="AK1316" i="3" s="1"/>
  <c r="J1313" i="3"/>
  <c r="I1327" i="3"/>
  <c r="I1315" i="3"/>
  <c r="J1306" i="3"/>
  <c r="S1306" i="3" s="1"/>
  <c r="AK1306" i="3" s="1"/>
  <c r="J1303" i="3"/>
  <c r="S1303" i="3" s="1"/>
  <c r="AK1303" i="3" s="1"/>
  <c r="I1345" i="3"/>
  <c r="T1345" i="3" s="1"/>
  <c r="J1335" i="3"/>
  <c r="S1335" i="3" s="1"/>
  <c r="AK1335" i="3" s="1"/>
  <c r="J1305" i="3"/>
  <c r="S1305" i="3" s="1"/>
  <c r="AK1305" i="3" s="1"/>
  <c r="I1331" i="3"/>
  <c r="J1315" i="3"/>
  <c r="J1283" i="3"/>
  <c r="S1283" i="3" s="1"/>
  <c r="AK1283" i="3" s="1"/>
  <c r="J1280" i="3"/>
  <c r="S1280" i="3" s="1"/>
  <c r="J1276" i="3"/>
  <c r="S1276" i="3" s="1"/>
  <c r="AK1276" i="3" s="1"/>
  <c r="J1272" i="3"/>
  <c r="S1272" i="3" s="1"/>
  <c r="AK1272" i="3" s="1"/>
  <c r="J1324" i="3"/>
  <c r="S1324" i="3" s="1"/>
  <c r="AK1324" i="3" s="1"/>
  <c r="J1312" i="3"/>
  <c r="I1308" i="3"/>
  <c r="J1304" i="3"/>
  <c r="S1304" i="3" s="1"/>
  <c r="AK1304" i="3" s="1"/>
  <c r="J1275" i="3"/>
  <c r="J1271" i="3"/>
  <c r="J1263" i="3"/>
  <c r="I1312" i="3"/>
  <c r="J1302" i="3"/>
  <c r="I1298" i="3"/>
  <c r="J1240" i="3"/>
  <c r="S1240" i="3" s="1"/>
  <c r="O1241" i="3"/>
  <c r="AC1241" i="3"/>
  <c r="W1243" i="3"/>
  <c r="J1244" i="3"/>
  <c r="S1244" i="3" s="1"/>
  <c r="AK1244" i="3" s="1"/>
  <c r="AC1245" i="3"/>
  <c r="W1251" i="3"/>
  <c r="X1251" i="3" s="1"/>
  <c r="J1252" i="3"/>
  <c r="S1252" i="3" s="1"/>
  <c r="AK1252" i="3" s="1"/>
  <c r="AC1253" i="3"/>
  <c r="W1255" i="3"/>
  <c r="X1255" i="3" s="1"/>
  <c r="J1256" i="3"/>
  <c r="S1256" i="3" s="1"/>
  <c r="AK1256" i="3" s="1"/>
  <c r="J1260" i="3"/>
  <c r="S1260" i="3" s="1"/>
  <c r="O1261" i="3"/>
  <c r="AC1261" i="3"/>
  <c r="AE1271" i="3"/>
  <c r="AD1271" i="3"/>
  <c r="P1271" i="3"/>
  <c r="J1273" i="3"/>
  <c r="S1273" i="3" s="1"/>
  <c r="AK1273" i="3" s="1"/>
  <c r="AI1274" i="3"/>
  <c r="AE1275" i="3"/>
  <c r="AD1275" i="3"/>
  <c r="P1275" i="3"/>
  <c r="I1280" i="3"/>
  <c r="T1280" i="3" s="1"/>
  <c r="J1281" i="3"/>
  <c r="S1281" i="3" s="1"/>
  <c r="AK1281" i="3" s="1"/>
  <c r="AD1284" i="3"/>
  <c r="AD1286" i="3"/>
  <c r="P1286" i="3"/>
  <c r="O1286" i="3"/>
  <c r="AE1286" i="3"/>
  <c r="W1287" i="3"/>
  <c r="I1288" i="3"/>
  <c r="O1288" i="3"/>
  <c r="AF1288" i="3"/>
  <c r="AH1288" i="3" s="1"/>
  <c r="W1288" i="3"/>
  <c r="I1290" i="3"/>
  <c r="T1290" i="3" s="1"/>
  <c r="AD1294" i="3"/>
  <c r="O1296" i="3"/>
  <c r="Z1297" i="3"/>
  <c r="Y1297" i="3" s="1"/>
  <c r="AB1297" i="3" s="1"/>
  <c r="Z1303" i="3"/>
  <c r="Y1303" i="3" s="1"/>
  <c r="AB1303" i="3" s="1"/>
  <c r="AA1303" i="3"/>
  <c r="AA1305" i="3"/>
  <c r="Z1305" i="3"/>
  <c r="Y1305" i="3" s="1"/>
  <c r="AB1305" i="3" s="1"/>
  <c r="P1213" i="3"/>
  <c r="P1221" i="3"/>
  <c r="K1357" i="3"/>
  <c r="P1241" i="3"/>
  <c r="I1242" i="3"/>
  <c r="J1245" i="3"/>
  <c r="S1245" i="3" s="1"/>
  <c r="AK1245" i="3" s="1"/>
  <c r="P1245" i="3"/>
  <c r="I1246" i="3"/>
  <c r="I1250" i="3"/>
  <c r="J1253" i="3"/>
  <c r="S1253" i="3" s="1"/>
  <c r="AK1253" i="3" s="1"/>
  <c r="P1253" i="3"/>
  <c r="I1254" i="3"/>
  <c r="J1261" i="3"/>
  <c r="S1261" i="3" s="1"/>
  <c r="AK1261" i="3" s="1"/>
  <c r="P1261" i="3"/>
  <c r="I1262" i="3"/>
  <c r="AE1263" i="3"/>
  <c r="AD1263" i="3"/>
  <c r="P1263" i="3"/>
  <c r="I1272" i="3"/>
  <c r="T1272" i="3" s="1"/>
  <c r="I1276" i="3"/>
  <c r="T1276" i="3" s="1"/>
  <c r="AD1283" i="3"/>
  <c r="P1283" i="3"/>
  <c r="AC1283" i="3"/>
  <c r="AE1283" i="3"/>
  <c r="AC1284" i="3"/>
  <c r="I1285" i="3"/>
  <c r="AF1285" i="3"/>
  <c r="W1285" i="3"/>
  <c r="Z1286" i="3"/>
  <c r="Y1286" i="3" s="1"/>
  <c r="AB1286" i="3" s="1"/>
  <c r="I1287" i="3"/>
  <c r="AE1292" i="3"/>
  <c r="AD1292" i="3"/>
  <c r="P1292" i="3"/>
  <c r="AD1293" i="3"/>
  <c r="P1293" i="3"/>
  <c r="AC1293" i="3"/>
  <c r="O1293" i="3"/>
  <c r="AE1293" i="3"/>
  <c r="AC1294" i="3"/>
  <c r="I1295" i="3"/>
  <c r="AF1295" i="3"/>
  <c r="AH1295" i="3" s="1"/>
  <c r="W1295" i="3"/>
  <c r="I1296" i="3"/>
  <c r="T1296" i="3" s="1"/>
  <c r="AA1296" i="3"/>
  <c r="Z1296" i="3"/>
  <c r="Y1296" i="3" s="1"/>
  <c r="AB1296" i="3" s="1"/>
  <c r="AD1303" i="3"/>
  <c r="AC1303" i="3"/>
  <c r="O1303" i="3"/>
  <c r="AE1303" i="3"/>
  <c r="Z1306" i="3"/>
  <c r="Y1306" i="3" s="1"/>
  <c r="AB1306" i="3" s="1"/>
  <c r="I1325" i="3"/>
  <c r="T1325" i="3" s="1"/>
  <c r="J1331" i="3"/>
  <c r="AA1341" i="3"/>
  <c r="Z1341" i="3"/>
  <c r="Y1341" i="3" s="1"/>
  <c r="I1344" i="3"/>
  <c r="AF1298" i="3"/>
  <c r="AH1298" i="3" s="1"/>
  <c r="W1298" i="3"/>
  <c r="I1304" i="3"/>
  <c r="AF1312" i="3"/>
  <c r="AH1312" i="3" s="1"/>
  <c r="W1312" i="3"/>
  <c r="I1316" i="3"/>
  <c r="T1316" i="3" s="1"/>
  <c r="AA1316" i="3"/>
  <c r="Z1316" i="3"/>
  <c r="Y1316" i="3" s="1"/>
  <c r="AB1316" i="3" s="1"/>
  <c r="X1318" i="3"/>
  <c r="AD1318" i="3"/>
  <c r="AI1317" i="3"/>
  <c r="AI1316" i="3"/>
  <c r="AI1313" i="3"/>
  <c r="AI1312" i="3"/>
  <c r="I1324" i="3"/>
  <c r="AE1326" i="3"/>
  <c r="AD1326" i="3"/>
  <c r="P1326" i="3"/>
  <c r="O1326" i="3"/>
  <c r="AA1326" i="3"/>
  <c r="Z1326" i="3"/>
  <c r="Y1326" i="3" s="1"/>
  <c r="AB1326" i="3" s="1"/>
  <c r="O1332" i="3"/>
  <c r="AE1332" i="3"/>
  <c r="P1332" i="3"/>
  <c r="AA1355" i="3"/>
  <c r="Z1355" i="3"/>
  <c r="Y1355" i="3" s="1"/>
  <c r="AB1355" i="3" s="1"/>
  <c r="J1289" i="3"/>
  <c r="S1289" i="3" s="1"/>
  <c r="AK1289" i="3" s="1"/>
  <c r="J1292" i="3"/>
  <c r="J1296" i="3"/>
  <c r="S1296" i="3" s="1"/>
  <c r="AK1296" i="3" s="1"/>
  <c r="AC1297" i="3"/>
  <c r="AD1297" i="3"/>
  <c r="I1303" i="3"/>
  <c r="T1303" i="3" s="1"/>
  <c r="AE1305" i="3"/>
  <c r="AD1305" i="3"/>
  <c r="P1305" i="3"/>
  <c r="AD1306" i="3"/>
  <c r="P1306" i="3"/>
  <c r="AC1306" i="3"/>
  <c r="O1306" i="3"/>
  <c r="AE1306" i="3"/>
  <c r="W1307" i="3"/>
  <c r="AF1308" i="3"/>
  <c r="AH1308" i="3" s="1"/>
  <c r="W1308" i="3"/>
  <c r="I1314" i="3"/>
  <c r="T1314" i="3" s="1"/>
  <c r="Z1317" i="3"/>
  <c r="Y1317" i="3" s="1"/>
  <c r="AB1317" i="3" s="1"/>
  <c r="AA1317" i="3"/>
  <c r="Z1343" i="3"/>
  <c r="Y1343" i="3" s="1"/>
  <c r="AA1343" i="3"/>
  <c r="I1346" i="3"/>
  <c r="T1346" i="3" s="1"/>
  <c r="AE1355" i="3"/>
  <c r="AD1355" i="3"/>
  <c r="AC1355" i="3"/>
  <c r="O1355" i="3"/>
  <c r="O1273" i="3"/>
  <c r="J1347" i="3"/>
  <c r="J1337" i="3"/>
  <c r="S1337" i="3" s="1"/>
  <c r="AK1337" i="3" s="1"/>
  <c r="J1318" i="3"/>
  <c r="S1318" i="3" s="1"/>
  <c r="AK1318" i="3" s="1"/>
  <c r="O1281" i="3"/>
  <c r="O1284" i="3"/>
  <c r="J1286" i="3"/>
  <c r="S1286" i="3" s="1"/>
  <c r="AK1286" i="3" s="1"/>
  <c r="O1287" i="3"/>
  <c r="J1290" i="3"/>
  <c r="S1290" i="3" s="1"/>
  <c r="AK1290" i="3" s="1"/>
  <c r="J1293" i="3"/>
  <c r="S1293" i="3" s="1"/>
  <c r="AK1293" i="3" s="1"/>
  <c r="O1294" i="3"/>
  <c r="O1297" i="3"/>
  <c r="AE1297" i="3"/>
  <c r="AG1304" i="3"/>
  <c r="O1305" i="3"/>
  <c r="AC1305" i="3"/>
  <c r="I1307" i="3"/>
  <c r="J1308" i="3"/>
  <c r="AE1316" i="3"/>
  <c r="AD1316" i="3"/>
  <c r="P1316" i="3"/>
  <c r="O1316" i="3"/>
  <c r="AD1317" i="3"/>
  <c r="P1317" i="3"/>
  <c r="O1317" i="3"/>
  <c r="I1318" i="3"/>
  <c r="Z1325" i="3"/>
  <c r="Y1325" i="3" s="1"/>
  <c r="AB1325" i="3" s="1"/>
  <c r="I1326" i="3"/>
  <c r="T1326" i="3" s="1"/>
  <c r="W1332" i="3"/>
  <c r="X1332" i="3" s="1"/>
  <c r="AF1332" i="3"/>
  <c r="AH1332" i="3" s="1"/>
  <c r="AA1342" i="3"/>
  <c r="Z1342" i="3"/>
  <c r="Y1342" i="3" s="1"/>
  <c r="AB1342" i="3" s="1"/>
  <c r="AA1346" i="3"/>
  <c r="Z1346" i="3"/>
  <c r="Y1346" i="3" s="1"/>
  <c r="AB1346" i="3" s="1"/>
  <c r="AD1314" i="3"/>
  <c r="P1314" i="3"/>
  <c r="O1314" i="3"/>
  <c r="AE1314" i="3"/>
  <c r="AH1333" i="3"/>
  <c r="AG1333" i="3"/>
  <c r="Z1334" i="3"/>
  <c r="Y1334" i="3" s="1"/>
  <c r="AA1334" i="3"/>
  <c r="AF1335" i="3"/>
  <c r="AH1335" i="3" s="1"/>
  <c r="W1335" i="3"/>
  <c r="AA1336" i="3"/>
  <c r="Z1336" i="3"/>
  <c r="Y1336" i="3" s="1"/>
  <c r="AA1337" i="3"/>
  <c r="Z1337" i="3"/>
  <c r="Y1337" i="3" s="1"/>
  <c r="AB1337" i="3" s="1"/>
  <c r="AE1342" i="3"/>
  <c r="AD1342" i="3"/>
  <c r="AC1342" i="3"/>
  <c r="O1342" i="3"/>
  <c r="O1304" i="3"/>
  <c r="O1307" i="3"/>
  <c r="AE1313" i="3"/>
  <c r="AD1313" i="3"/>
  <c r="P1313" i="3"/>
  <c r="AH1314" i="3"/>
  <c r="AG1314" i="3"/>
  <c r="AF1315" i="3"/>
  <c r="AH1315" i="3" s="1"/>
  <c r="W1315" i="3"/>
  <c r="I1317" i="3"/>
  <c r="T1317" i="3" s="1"/>
  <c r="W1324" i="3"/>
  <c r="AD1325" i="3"/>
  <c r="P1325" i="3"/>
  <c r="O1325" i="3"/>
  <c r="AE1325" i="3"/>
  <c r="AF1327" i="3"/>
  <c r="W1327" i="3"/>
  <c r="Z1333" i="3"/>
  <c r="Y1333" i="3" s="1"/>
  <c r="AA1333" i="3"/>
  <c r="AE1337" i="3"/>
  <c r="AD1337" i="3"/>
  <c r="P1337" i="3"/>
  <c r="O1337" i="3"/>
  <c r="Z1331" i="3"/>
  <c r="Y1331" i="3" s="1"/>
  <c r="I1332" i="3"/>
  <c r="T1332" i="3" s="1"/>
  <c r="I1337" i="3"/>
  <c r="T1337" i="3" s="1"/>
  <c r="I1342" i="3"/>
  <c r="T1342" i="3" s="1"/>
  <c r="AD1343" i="3"/>
  <c r="AE1346" i="3"/>
  <c r="AD1346" i="3"/>
  <c r="P1346" i="3"/>
  <c r="I1355" i="3"/>
  <c r="T1355" i="3" s="1"/>
  <c r="Z1356" i="3"/>
  <c r="Y1356" i="3" s="1"/>
  <c r="AD1331" i="3"/>
  <c r="I1335" i="3"/>
  <c r="AF1344" i="3"/>
  <c r="AH1344" i="3" s="1"/>
  <c r="W1344" i="3"/>
  <c r="AA1345" i="3"/>
  <c r="Z1345" i="3"/>
  <c r="Y1345" i="3" s="1"/>
  <c r="Z1347" i="3"/>
  <c r="Y1347" i="3" s="1"/>
  <c r="AI1347" i="3"/>
  <c r="AI1343" i="3"/>
  <c r="AI1346" i="3"/>
  <c r="AI1342" i="3"/>
  <c r="AI1345" i="3"/>
  <c r="AI1341" i="3"/>
  <c r="AD1356" i="3"/>
  <c r="AA1356" i="3"/>
  <c r="P1333" i="3"/>
  <c r="AE1335" i="3"/>
  <c r="P1336" i="3"/>
  <c r="AE1344" i="3"/>
  <c r="P1345" i="3"/>
  <c r="P1334" i="3"/>
  <c r="P1343" i="3"/>
  <c r="O1344" i="3"/>
  <c r="P1347" i="3"/>
  <c r="P1356" i="3"/>
  <c r="J570" i="2"/>
  <c r="I570" i="2"/>
  <c r="J592" i="2"/>
  <c r="I592" i="2"/>
  <c r="J562" i="2"/>
  <c r="I562" i="2"/>
  <c r="J573" i="2"/>
  <c r="I573" i="2"/>
  <c r="J563" i="2"/>
  <c r="I563" i="2"/>
  <c r="J530" i="2"/>
  <c r="I530" i="2"/>
  <c r="J534" i="2"/>
  <c r="I534" i="2"/>
  <c r="J529" i="2"/>
  <c r="I529" i="2"/>
  <c r="J525" i="2"/>
  <c r="I525" i="2"/>
  <c r="J524" i="2"/>
  <c r="I524" i="2"/>
  <c r="J520" i="2"/>
  <c r="I520" i="2"/>
  <c r="I143" i="2"/>
  <c r="J143" i="2"/>
  <c r="I120" i="2"/>
  <c r="I142" i="2"/>
  <c r="J142" i="2"/>
  <c r="I148" i="2"/>
  <c r="J148" i="2"/>
  <c r="I110" i="2"/>
  <c r="I153" i="2"/>
  <c r="J153" i="2"/>
  <c r="AJ233" i="3"/>
  <c r="AJ1090" i="3"/>
  <c r="AJ51" i="3"/>
  <c r="AI46" i="3" s="1"/>
  <c r="AK228" i="3"/>
  <c r="AK233" i="3" s="1"/>
  <c r="AL232" i="3" s="1"/>
  <c r="AJ462" i="3"/>
  <c r="AI460" i="3" s="1"/>
  <c r="AJ673" i="3"/>
  <c r="AI671" i="3" s="1"/>
  <c r="AK677" i="3"/>
  <c r="AJ691" i="3"/>
  <c r="AI688" i="3" s="1"/>
  <c r="AK1186" i="3"/>
  <c r="AJ934" i="3"/>
  <c r="AI933" i="3" s="1"/>
  <c r="AJ274" i="3"/>
  <c r="AI268" i="3" s="1"/>
  <c r="AJ57" i="3"/>
  <c r="AJ209" i="3"/>
  <c r="AJ322" i="3"/>
  <c r="AI320" i="3" s="1"/>
  <c r="AJ944" i="3"/>
  <c r="AI943" i="3" s="1"/>
  <c r="AK1088" i="3"/>
  <c r="AJ109" i="3"/>
  <c r="AI135" i="3" s="1"/>
  <c r="AJ178" i="3"/>
  <c r="AI177" i="3" s="1"/>
  <c r="AJ848" i="3"/>
  <c r="AI847" i="3" s="1"/>
  <c r="AJ1134" i="3"/>
  <c r="AI1128" i="3" s="1"/>
  <c r="AJ515" i="3"/>
  <c r="AM504" i="3" s="1"/>
  <c r="AJ659" i="3"/>
  <c r="AI657" i="3" s="1"/>
  <c r="AI461" i="3"/>
  <c r="AI272" i="3"/>
  <c r="AI315" i="3"/>
  <c r="AJ86" i="3"/>
  <c r="AI83" i="3" s="1"/>
  <c r="AJ1122" i="3"/>
  <c r="AI1120" i="3" s="1"/>
  <c r="AJ63" i="3"/>
  <c r="AI62" i="3" s="1"/>
  <c r="AK55" i="3"/>
  <c r="AK273" i="3"/>
  <c r="AI314" i="3"/>
  <c r="AJ330" i="3"/>
  <c r="AI329" i="3" s="1"/>
  <c r="AJ428" i="3"/>
  <c r="AI427" i="3" s="1"/>
  <c r="AK893" i="3"/>
  <c r="AK932" i="3"/>
  <c r="AK1061" i="3"/>
  <c r="AK1116" i="3"/>
  <c r="AJ235" i="3"/>
  <c r="AJ7" i="3" s="1"/>
  <c r="AJ254" i="3"/>
  <c r="AJ299" i="3"/>
  <c r="AI293" i="3" s="1"/>
  <c r="AJ306" i="3"/>
  <c r="AI305" i="3" s="1"/>
  <c r="AJ418" i="3"/>
  <c r="AI417" i="3" s="1"/>
  <c r="AK670" i="3"/>
  <c r="AK673" i="3" s="1"/>
  <c r="AL671" i="3" s="1"/>
  <c r="AJ840" i="3"/>
  <c r="AI836" i="3" s="1"/>
  <c r="AJ866" i="3"/>
  <c r="AI863" i="3" s="1"/>
  <c r="AJ1026" i="3"/>
  <c r="AI1020" i="3" s="1"/>
  <c r="AJ1063" i="3"/>
  <c r="AI1059" i="3" s="1"/>
  <c r="AJ117" i="3"/>
  <c r="AK172" i="3"/>
  <c r="AK269" i="3"/>
  <c r="AK303" i="3"/>
  <c r="AK306" i="3" s="1"/>
  <c r="AL304" i="3" s="1"/>
  <c r="AK510" i="3"/>
  <c r="AJ898" i="3"/>
  <c r="AI893" i="3" s="1"/>
  <c r="AJ1178" i="3"/>
  <c r="AI1172" i="3" s="1"/>
  <c r="I137" i="2"/>
  <c r="I249" i="2"/>
  <c r="I251" i="2"/>
  <c r="I252" i="2"/>
  <c r="I253" i="2"/>
  <c r="I254" i="2"/>
  <c r="I418" i="2"/>
  <c r="I422" i="2"/>
  <c r="I426" i="2"/>
  <c r="I430" i="2"/>
  <c r="I609" i="2"/>
  <c r="I610" i="2"/>
  <c r="I630" i="2"/>
  <c r="I659" i="2"/>
  <c r="I660" i="2"/>
  <c r="I665" i="2"/>
  <c r="I678" i="2"/>
  <c r="I679" i="2"/>
  <c r="I764" i="2"/>
  <c r="I765" i="2"/>
  <c r="I777" i="2"/>
  <c r="AK75" i="3"/>
  <c r="AJ91" i="3"/>
  <c r="AI89" i="3" s="1"/>
  <c r="AK89" i="3"/>
  <c r="AI36" i="3"/>
  <c r="AI37" i="3"/>
  <c r="AI38" i="3"/>
  <c r="AK38" i="3"/>
  <c r="AI39" i="3"/>
  <c r="AK39" i="3"/>
  <c r="AI40" i="3"/>
  <c r="AK40" i="3"/>
  <c r="AI41" i="3"/>
  <c r="AK41" i="3"/>
  <c r="AK46" i="3"/>
  <c r="AK48" i="3"/>
  <c r="AK49" i="3"/>
  <c r="AK50" i="3"/>
  <c r="AI60" i="3"/>
  <c r="AK60" i="3"/>
  <c r="AK61" i="3"/>
  <c r="AJ69" i="3"/>
  <c r="AI67" i="3" s="1"/>
  <c r="AK66" i="3"/>
  <c r="AK67" i="3"/>
  <c r="AI108" i="3"/>
  <c r="AI115" i="3"/>
  <c r="AK116" i="3"/>
  <c r="AI136" i="3"/>
  <c r="AK137" i="3"/>
  <c r="AJ138" i="3"/>
  <c r="AK155" i="3"/>
  <c r="AI232" i="3"/>
  <c r="AI230" i="3"/>
  <c r="AI229" i="3"/>
  <c r="AI228" i="3"/>
  <c r="AI231" i="3"/>
  <c r="AI328" i="3"/>
  <c r="AJ80" i="3"/>
  <c r="AI75" i="3" s="1"/>
  <c r="AK90" i="3"/>
  <c r="AJ103" i="3"/>
  <c r="AI100" i="3" s="1"/>
  <c r="AK101" i="3"/>
  <c r="AI101" i="3"/>
  <c r="AK121" i="3"/>
  <c r="AI121" i="3"/>
  <c r="AK122" i="3"/>
  <c r="AK123" i="3"/>
  <c r="AI123" i="3"/>
  <c r="AJ124" i="3"/>
  <c r="AJ131" i="3"/>
  <c r="AK128" i="3"/>
  <c r="AI128" i="3"/>
  <c r="AK129" i="3"/>
  <c r="AK130" i="3"/>
  <c r="AI130" i="3"/>
  <c r="AJ159" i="3"/>
  <c r="AI153" i="3" s="1"/>
  <c r="AK153" i="3"/>
  <c r="AK157" i="3"/>
  <c r="AI174" i="3"/>
  <c r="AI304" i="3"/>
  <c r="AI303" i="3"/>
  <c r="AI843" i="3"/>
  <c r="AK197" i="3"/>
  <c r="AI207" i="3"/>
  <c r="AK207" i="3"/>
  <c r="AI208" i="3"/>
  <c r="AK218" i="3"/>
  <c r="AL228" i="3"/>
  <c r="AK248" i="3"/>
  <c r="AK249" i="3"/>
  <c r="AK251" i="3"/>
  <c r="AK253" i="3"/>
  <c r="AK293" i="3"/>
  <c r="AK295" i="3"/>
  <c r="AK296" i="3"/>
  <c r="AI298" i="3"/>
  <c r="AL305" i="3"/>
  <c r="AK320" i="3"/>
  <c r="AK321" i="3"/>
  <c r="AJ374" i="3"/>
  <c r="AM370" i="3" s="1"/>
  <c r="AK341" i="3"/>
  <c r="AJ392" i="3"/>
  <c r="AJ411" i="3"/>
  <c r="AI409" i="3" s="1"/>
  <c r="AJ457" i="3"/>
  <c r="AJ469" i="3" s="1"/>
  <c r="AM455" i="3" s="1"/>
  <c r="AK455" i="3"/>
  <c r="AI504" i="3"/>
  <c r="AI505" i="3"/>
  <c r="AI510" i="3"/>
  <c r="AI511" i="3"/>
  <c r="AK555" i="3"/>
  <c r="AK578" i="3"/>
  <c r="AI664" i="3"/>
  <c r="AI670" i="3"/>
  <c r="AI673" i="3" s="1"/>
  <c r="AI677" i="3"/>
  <c r="AI678" i="3"/>
  <c r="AI679" i="3"/>
  <c r="AI680" i="3"/>
  <c r="AI681" i="3"/>
  <c r="AJ754" i="3"/>
  <c r="AI752" i="3" s="1"/>
  <c r="AK752" i="3"/>
  <c r="AJ764" i="3"/>
  <c r="AI763" i="3" s="1"/>
  <c r="AK762" i="3"/>
  <c r="AK846" i="3"/>
  <c r="AI846" i="3"/>
  <c r="AK853" i="3"/>
  <c r="AK865" i="3"/>
  <c r="AK872" i="3"/>
  <c r="AJ889" i="3"/>
  <c r="AI883" i="3" s="1"/>
  <c r="AK883" i="3"/>
  <c r="AM197" i="3"/>
  <c r="AK410" i="3"/>
  <c r="AJ423" i="3"/>
  <c r="AI422" i="3" s="1"/>
  <c r="AK456" i="3"/>
  <c r="AM511" i="3"/>
  <c r="AK556" i="3"/>
  <c r="AI556" i="3"/>
  <c r="AK577" i="3"/>
  <c r="AJ585" i="3"/>
  <c r="AK658" i="3"/>
  <c r="AI658" i="3"/>
  <c r="AK689" i="3"/>
  <c r="AJ759" i="3"/>
  <c r="AI758" i="3" s="1"/>
  <c r="AK757" i="3"/>
  <c r="AJ784" i="3"/>
  <c r="AI782" i="3" s="1"/>
  <c r="AK782" i="3"/>
  <c r="AK847" i="3"/>
  <c r="AJ856" i="3"/>
  <c r="AI853" i="3" s="1"/>
  <c r="AK864" i="3"/>
  <c r="AJ879" i="3"/>
  <c r="AI873" i="3" s="1"/>
  <c r="AK871" i="3"/>
  <c r="AK884" i="3"/>
  <c r="AK888" i="3"/>
  <c r="AI894" i="3"/>
  <c r="AK902" i="3"/>
  <c r="AJ912" i="3"/>
  <c r="AI907" i="3" s="1"/>
  <c r="AK907" i="3"/>
  <c r="AK911" i="3"/>
  <c r="AI916" i="3"/>
  <c r="AI917" i="3"/>
  <c r="AJ928" i="3"/>
  <c r="AI926" i="3" s="1"/>
  <c r="AK922" i="3"/>
  <c r="AK927" i="3"/>
  <c r="AI927" i="3"/>
  <c r="AI932" i="3"/>
  <c r="AK938" i="3"/>
  <c r="AJ955" i="3"/>
  <c r="AI949" i="3" s="1"/>
  <c r="AK949" i="3"/>
  <c r="AK953" i="3"/>
  <c r="AJ964" i="3"/>
  <c r="AK962" i="3"/>
  <c r="AK968" i="3"/>
  <c r="AJ974" i="3"/>
  <c r="AI971" i="3" s="1"/>
  <c r="AK982" i="3"/>
  <c r="AK984" i="3"/>
  <c r="AK986" i="3"/>
  <c r="AK1002" i="3"/>
  <c r="AK1004" i="3"/>
  <c r="AJ1017" i="3"/>
  <c r="AI1004" i="3" s="1"/>
  <c r="AK1024" i="3"/>
  <c r="AJ1035" i="3"/>
  <c r="AI1029" i="3" s="1"/>
  <c r="AK1031" i="3"/>
  <c r="AJ1049" i="3"/>
  <c r="AI1046" i="3" s="1"/>
  <c r="AK1042" i="3"/>
  <c r="AK1044" i="3"/>
  <c r="AK1053" i="3"/>
  <c r="AI1053" i="3"/>
  <c r="AI1055" i="3" s="1"/>
  <c r="AK1128" i="3"/>
  <c r="AK1130" i="3"/>
  <c r="AI1130" i="3"/>
  <c r="AK1196" i="3"/>
  <c r="AK1198" i="3"/>
  <c r="AJ904" i="3"/>
  <c r="AK901" i="3"/>
  <c r="AI923" i="3"/>
  <c r="AK952" i="3"/>
  <c r="AK954" i="3"/>
  <c r="AK963" i="3"/>
  <c r="AK981" i="3"/>
  <c r="AK983" i="3"/>
  <c r="AJ996" i="3"/>
  <c r="AI982" i="3" s="1"/>
  <c r="AI1003" i="3"/>
  <c r="AK1005" i="3"/>
  <c r="AI1005" i="3"/>
  <c r="AK1023" i="3"/>
  <c r="AK1030" i="3"/>
  <c r="AK1034" i="3"/>
  <c r="AI1089" i="3"/>
  <c r="AI1088" i="3"/>
  <c r="AI1133" i="3"/>
  <c r="AI1131" i="3"/>
  <c r="AI1132" i="3"/>
  <c r="AK1164" i="3"/>
  <c r="AK1173" i="3"/>
  <c r="AI1173" i="3"/>
  <c r="AK1175" i="3"/>
  <c r="AI1189" i="3"/>
  <c r="AI1188" i="3"/>
  <c r="AI1187" i="3"/>
  <c r="AI1186" i="3"/>
  <c r="AK1062" i="3"/>
  <c r="AK1127" i="3"/>
  <c r="AI1127" i="3"/>
  <c r="AK1129" i="3"/>
  <c r="AI1129" i="3"/>
  <c r="AJ1170" i="3"/>
  <c r="AI1165" i="3" s="1"/>
  <c r="AK1163" i="3"/>
  <c r="AK1165" i="3"/>
  <c r="AK1174" i="3"/>
  <c r="AK1177" i="3"/>
  <c r="AJ1202" i="3"/>
  <c r="AI1196" i="3" s="1"/>
  <c r="AK1195" i="3"/>
  <c r="AK1197" i="3"/>
  <c r="AJ1328" i="3"/>
  <c r="AI1325" i="3" s="1"/>
  <c r="AK1325" i="3"/>
  <c r="AH234" i="3" l="1"/>
  <c r="U7" i="3" s="1"/>
  <c r="W7" i="3" s="1"/>
  <c r="AD331" i="3"/>
  <c r="W4" i="3"/>
  <c r="AB1345" i="3"/>
  <c r="AC1345" i="3"/>
  <c r="T1307" i="3"/>
  <c r="P1307" i="3"/>
  <c r="AC1343" i="3"/>
  <c r="AB1343" i="3"/>
  <c r="S1292" i="3"/>
  <c r="AK1292" i="3" s="1"/>
  <c r="O1292" i="3"/>
  <c r="X1312" i="3"/>
  <c r="AD1312" i="3"/>
  <c r="S1331" i="3"/>
  <c r="O1331" i="3"/>
  <c r="T1285" i="3"/>
  <c r="P1285" i="3"/>
  <c r="T1262" i="3"/>
  <c r="P1262" i="3"/>
  <c r="P1288" i="3"/>
  <c r="T1288" i="3"/>
  <c r="S1302" i="3"/>
  <c r="O1302" i="3"/>
  <c r="S1334" i="3"/>
  <c r="AK1334" i="3" s="1"/>
  <c r="O1334" i="3"/>
  <c r="X1291" i="3"/>
  <c r="AD1291" i="3"/>
  <c r="X1282" i="3"/>
  <c r="AD1282" i="3"/>
  <c r="AD1299" i="3" s="1"/>
  <c r="AC1275" i="3"/>
  <c r="AB1275" i="3"/>
  <c r="X1211" i="3"/>
  <c r="AD1211" i="3"/>
  <c r="AB1263" i="3"/>
  <c r="AC1263" i="3"/>
  <c r="T1034" i="3"/>
  <c r="P1034" i="3"/>
  <c r="P700" i="3"/>
  <c r="T700" i="3"/>
  <c r="AB1148" i="3"/>
  <c r="AC1148" i="3"/>
  <c r="Z1089" i="3"/>
  <c r="Y1089" i="3" s="1"/>
  <c r="AA1089" i="3"/>
  <c r="AD919" i="3"/>
  <c r="S887" i="3"/>
  <c r="AK887" i="3" s="1"/>
  <c r="O887" i="3"/>
  <c r="X870" i="3"/>
  <c r="AD870" i="3"/>
  <c r="X642" i="3"/>
  <c r="AD642" i="3"/>
  <c r="X1117" i="3"/>
  <c r="AD1117" i="3"/>
  <c r="AD1225" i="3" s="1"/>
  <c r="T852" i="3"/>
  <c r="T1100" i="3" s="1"/>
  <c r="M20" i="3" s="1"/>
  <c r="P852" i="3"/>
  <c r="S839" i="3"/>
  <c r="AK839" i="3" s="1"/>
  <c r="O839" i="3"/>
  <c r="T1023" i="3"/>
  <c r="P1023" i="3"/>
  <c r="S897" i="3"/>
  <c r="AK897" i="3" s="1"/>
  <c r="O897" i="3"/>
  <c r="T1045" i="3"/>
  <c r="P1045" i="3"/>
  <c r="S765" i="3"/>
  <c r="M18" i="3" s="1"/>
  <c r="T18" i="3"/>
  <c r="X1155" i="3"/>
  <c r="AD1155" i="3"/>
  <c r="X527" i="3"/>
  <c r="AD527" i="3"/>
  <c r="AB970" i="3"/>
  <c r="AC970" i="3"/>
  <c r="AA864" i="3"/>
  <c r="Z864" i="3"/>
  <c r="Y864" i="3" s="1"/>
  <c r="AB846" i="3"/>
  <c r="AC846" i="3"/>
  <c r="Z724" i="3"/>
  <c r="Y724" i="3" s="1"/>
  <c r="AA724" i="3"/>
  <c r="X1151" i="3"/>
  <c r="AD1151" i="3"/>
  <c r="AD1161" i="3" s="1"/>
  <c r="AC1009" i="3"/>
  <c r="AB1009" i="3"/>
  <c r="AA1023" i="3"/>
  <c r="Z1023" i="3"/>
  <c r="Y1023" i="3" s="1"/>
  <c r="T489" i="3"/>
  <c r="P489" i="3"/>
  <c r="S14" i="3" s="1"/>
  <c r="AC839" i="3"/>
  <c r="AB839" i="3"/>
  <c r="X252" i="3"/>
  <c r="AD252" i="3"/>
  <c r="P327" i="3"/>
  <c r="T327" i="3"/>
  <c r="AC680" i="3"/>
  <c r="AB680" i="3"/>
  <c r="N388" i="3"/>
  <c r="R388" i="3"/>
  <c r="T251" i="3"/>
  <c r="P251" i="3"/>
  <c r="P276" i="3" s="1"/>
  <c r="S8" i="3" s="1"/>
  <c r="AB893" i="3"/>
  <c r="AC893" i="3"/>
  <c r="P416" i="3"/>
  <c r="T416" i="3"/>
  <c r="P66" i="3"/>
  <c r="AA228" i="3"/>
  <c r="Z228" i="3"/>
  <c r="Y228" i="3" s="1"/>
  <c r="AA128" i="3"/>
  <c r="Z128" i="3"/>
  <c r="Y128" i="3" s="1"/>
  <c r="AM510" i="3"/>
  <c r="AI897" i="3"/>
  <c r="AI666" i="3"/>
  <c r="AM202" i="3"/>
  <c r="AI175" i="3"/>
  <c r="AI49" i="3"/>
  <c r="AI47" i="3"/>
  <c r="AI45" i="3"/>
  <c r="AK1122" i="3"/>
  <c r="AL1116" i="3" s="1"/>
  <c r="AI270" i="3"/>
  <c r="X1327" i="3"/>
  <c r="AD1327" i="3"/>
  <c r="AC1325" i="3"/>
  <c r="AC1334" i="3"/>
  <c r="AB1334" i="3"/>
  <c r="T1318" i="3"/>
  <c r="P1318" i="3"/>
  <c r="AD1332" i="3"/>
  <c r="AC1326" i="3"/>
  <c r="T1324" i="3"/>
  <c r="P1324" i="3"/>
  <c r="T1344" i="3"/>
  <c r="P1344" i="3"/>
  <c r="T1295" i="3"/>
  <c r="P1295" i="3"/>
  <c r="X1288" i="3"/>
  <c r="AD1288" i="3"/>
  <c r="X1287" i="3"/>
  <c r="AD1287" i="3"/>
  <c r="AC1286" i="3"/>
  <c r="AD1277" i="3"/>
  <c r="AK1260" i="3"/>
  <c r="O1253" i="3"/>
  <c r="O1245" i="3"/>
  <c r="P1312" i="3"/>
  <c r="T1312" i="3"/>
  <c r="S1315" i="3"/>
  <c r="AK1315" i="3" s="1"/>
  <c r="O1315" i="3"/>
  <c r="T1327" i="3"/>
  <c r="P1327" i="3"/>
  <c r="S1345" i="3"/>
  <c r="AK1345" i="3" s="1"/>
  <c r="O1345" i="3"/>
  <c r="O1343" i="3"/>
  <c r="S1343" i="3"/>
  <c r="AK1343" i="3" s="1"/>
  <c r="AC1213" i="3"/>
  <c r="AB1313" i="3"/>
  <c r="AC1313" i="3"/>
  <c r="X1302" i="3"/>
  <c r="AD1302" i="3"/>
  <c r="O1272" i="3"/>
  <c r="S1251" i="3"/>
  <c r="AK1251" i="3" s="1"/>
  <c r="O1251" i="3"/>
  <c r="O1289" i="3"/>
  <c r="AH1282" i="3"/>
  <c r="AH1359" i="3" s="1"/>
  <c r="U22" i="3" s="1"/>
  <c r="W22" i="3" s="1"/>
  <c r="AG1282" i="3"/>
  <c r="AC1271" i="3"/>
  <c r="AB1271" i="3"/>
  <c r="S1152" i="3"/>
  <c r="AK1152" i="3" s="1"/>
  <c r="O1152" i="3"/>
  <c r="O1133" i="3"/>
  <c r="S1133" i="3"/>
  <c r="AK1133" i="3" s="1"/>
  <c r="AK1134" i="3" s="1"/>
  <c r="AL1127" i="3" s="1"/>
  <c r="AC1260" i="3"/>
  <c r="AG1211" i="3"/>
  <c r="AH1211" i="3"/>
  <c r="O1181" i="3"/>
  <c r="O1160" i="3"/>
  <c r="X1138" i="3"/>
  <c r="AD1138" i="3"/>
  <c r="AC1013" i="3"/>
  <c r="X1198" i="3"/>
  <c r="AD1198" i="3"/>
  <c r="AD1144" i="3"/>
  <c r="O1129" i="3"/>
  <c r="AA1094" i="3"/>
  <c r="Z1094" i="3"/>
  <c r="Y1094" i="3" s="1"/>
  <c r="X1033" i="3"/>
  <c r="AD1033" i="3"/>
  <c r="AD1035" i="3"/>
  <c r="AA1177" i="3"/>
  <c r="Z1177" i="3"/>
  <c r="Y1177" i="3" s="1"/>
  <c r="AC1174" i="3"/>
  <c r="O1156" i="3"/>
  <c r="AC1098" i="3"/>
  <c r="S1089" i="3"/>
  <c r="AK1089" i="3" s="1"/>
  <c r="O1089" i="3"/>
  <c r="AC1059" i="3"/>
  <c r="AB1059" i="3"/>
  <c r="P1046" i="3"/>
  <c r="AA1045" i="3"/>
  <c r="Z1045" i="3"/>
  <c r="Y1045" i="3" s="1"/>
  <c r="Z999" i="3"/>
  <c r="Y999" i="3" s="1"/>
  <c r="AA999" i="3"/>
  <c r="T972" i="3"/>
  <c r="P972" i="3"/>
  <c r="P962" i="3"/>
  <c r="X951" i="3"/>
  <c r="AD951" i="3"/>
  <c r="AD955" i="3" s="1"/>
  <c r="X923" i="3"/>
  <c r="AD923" i="3"/>
  <c r="S886" i="3"/>
  <c r="AK886" i="3" s="1"/>
  <c r="O886" i="3"/>
  <c r="T853" i="3"/>
  <c r="P853" i="3"/>
  <c r="X635" i="3"/>
  <c r="AD635" i="3"/>
  <c r="S1029" i="3"/>
  <c r="AK1029" i="3" s="1"/>
  <c r="O1029" i="3"/>
  <c r="S1021" i="3"/>
  <c r="AK1021" i="3" s="1"/>
  <c r="O1021" i="3"/>
  <c r="AD988" i="3"/>
  <c r="AA962" i="3"/>
  <c r="Z962" i="3"/>
  <c r="Y962" i="3" s="1"/>
  <c r="O940" i="3"/>
  <c r="P923" i="3"/>
  <c r="T923" i="3"/>
  <c r="AD887" i="3"/>
  <c r="X887" i="3"/>
  <c r="P869" i="3"/>
  <c r="T869" i="3"/>
  <c r="S863" i="3"/>
  <c r="AK863" i="3" s="1"/>
  <c r="AK866" i="3" s="1"/>
  <c r="O863" i="3"/>
  <c r="S838" i="3"/>
  <c r="AK838" i="3" s="1"/>
  <c r="O838" i="3"/>
  <c r="O845" i="3"/>
  <c r="S845" i="3"/>
  <c r="AK845" i="3" s="1"/>
  <c r="S874" i="3"/>
  <c r="AK874" i="3" s="1"/>
  <c r="O874" i="3"/>
  <c r="P887" i="3"/>
  <c r="T887" i="3"/>
  <c r="P916" i="3"/>
  <c r="T916" i="3"/>
  <c r="T1009" i="3"/>
  <c r="P1009" i="3"/>
  <c r="T994" i="3"/>
  <c r="P994" i="3"/>
  <c r="P1029" i="3"/>
  <c r="T1029" i="3"/>
  <c r="P1047" i="3"/>
  <c r="T1047" i="3"/>
  <c r="S1025" i="3"/>
  <c r="AK1025" i="3" s="1"/>
  <c r="AK1026" i="3" s="1"/>
  <c r="AL1020" i="3" s="1"/>
  <c r="O1025" i="3"/>
  <c r="S622" i="3"/>
  <c r="AK622" i="3" s="1"/>
  <c r="O622" i="3"/>
  <c r="Z1208" i="3"/>
  <c r="Y1208" i="3" s="1"/>
  <c r="AA1208" i="3"/>
  <c r="AI1143" i="3"/>
  <c r="AI1140" i="3"/>
  <c r="AI1141" i="3"/>
  <c r="AI1138" i="3"/>
  <c r="AI1144" i="3" s="1"/>
  <c r="AI1139" i="3"/>
  <c r="AI1142" i="3"/>
  <c r="AA1121" i="3"/>
  <c r="Z1121" i="3"/>
  <c r="Y1121" i="3" s="1"/>
  <c r="P1062" i="3"/>
  <c r="AB1060" i="3"/>
  <c r="AC1060" i="3"/>
  <c r="AB1047" i="3"/>
  <c r="AC1047" i="3"/>
  <c r="AA1042" i="3"/>
  <c r="Z1042" i="3"/>
  <c r="Y1042" i="3" s="1"/>
  <c r="AB994" i="3"/>
  <c r="AC994" i="3"/>
  <c r="AB991" i="3"/>
  <c r="AC991" i="3"/>
  <c r="AB959" i="3"/>
  <c r="AC959" i="3"/>
  <c r="AC875" i="3"/>
  <c r="AD852" i="3"/>
  <c r="AD856" i="3" s="1"/>
  <c r="X852" i="3"/>
  <c r="AA813" i="3"/>
  <c r="Z813" i="3"/>
  <c r="Y813" i="3" s="1"/>
  <c r="T678" i="3"/>
  <c r="P678" i="3"/>
  <c r="AA658" i="3"/>
  <c r="Z658" i="3"/>
  <c r="Y658" i="3" s="1"/>
  <c r="AB636" i="3"/>
  <c r="AC636" i="3"/>
  <c r="AB611" i="3"/>
  <c r="AC611" i="3"/>
  <c r="AI613" i="3"/>
  <c r="AK595" i="3"/>
  <c r="P687" i="3"/>
  <c r="T687" i="3"/>
  <c r="X1274" i="3"/>
  <c r="AD1274" i="3"/>
  <c r="O1256" i="3"/>
  <c r="O1197" i="3"/>
  <c r="X1067" i="3"/>
  <c r="AD1067" i="3"/>
  <c r="AB1032" i="3"/>
  <c r="AC1032" i="3"/>
  <c r="P917" i="3"/>
  <c r="X894" i="3"/>
  <c r="AD894" i="3"/>
  <c r="AB863" i="3"/>
  <c r="AC863" i="3"/>
  <c r="O861" i="3"/>
  <c r="AD726" i="3"/>
  <c r="AA652" i="3"/>
  <c r="Z652" i="3"/>
  <c r="Y652" i="3" s="1"/>
  <c r="AA646" i="3"/>
  <c r="Z646" i="3"/>
  <c r="Y646" i="3" s="1"/>
  <c r="T619" i="3"/>
  <c r="P17" i="3" s="1"/>
  <c r="P619" i="3"/>
  <c r="AB608" i="3"/>
  <c r="AC608" i="3"/>
  <c r="P527" i="3"/>
  <c r="P586" i="3" s="1"/>
  <c r="S15" i="3" s="1"/>
  <c r="T527" i="3"/>
  <c r="AC1212" i="3"/>
  <c r="AB1212" i="3"/>
  <c r="AC1021" i="3"/>
  <c r="AB1021" i="3"/>
  <c r="P992" i="3"/>
  <c r="P961" i="3"/>
  <c r="O938" i="3"/>
  <c r="AC874" i="3"/>
  <c r="AB874" i="3"/>
  <c r="O872" i="3"/>
  <c r="AC861" i="3"/>
  <c r="AB861" i="3"/>
  <c r="O860" i="3"/>
  <c r="AC1119" i="3"/>
  <c r="AB1119" i="3"/>
  <c r="Z1010" i="3"/>
  <c r="Y1010" i="3" s="1"/>
  <c r="AA1010" i="3"/>
  <c r="AC771" i="3"/>
  <c r="AB771" i="3"/>
  <c r="AA705" i="3"/>
  <c r="Z705" i="3"/>
  <c r="Y705" i="3" s="1"/>
  <c r="P689" i="3"/>
  <c r="AB665" i="3"/>
  <c r="AC665" i="3"/>
  <c r="X555" i="3"/>
  <c r="AD555" i="3"/>
  <c r="T466" i="3"/>
  <c r="S466" i="3"/>
  <c r="X1187" i="3"/>
  <c r="AD1187" i="3"/>
  <c r="O1054" i="3"/>
  <c r="O1030" i="3"/>
  <c r="Z860" i="3"/>
  <c r="Y860" i="3" s="1"/>
  <c r="AA860" i="3"/>
  <c r="AC752" i="3"/>
  <c r="R765" i="3"/>
  <c r="K18" i="3" s="1"/>
  <c r="P18" i="3"/>
  <c r="N18" i="3"/>
  <c r="AA671" i="3"/>
  <c r="Z671" i="3"/>
  <c r="Y671" i="3" s="1"/>
  <c r="X630" i="3"/>
  <c r="AD630" i="3"/>
  <c r="Z620" i="3"/>
  <c r="Y620" i="3" s="1"/>
  <c r="AA620" i="3"/>
  <c r="AB609" i="3"/>
  <c r="AC609" i="3"/>
  <c r="Z600" i="3"/>
  <c r="Y600" i="3" s="1"/>
  <c r="AA600" i="3"/>
  <c r="O554" i="3"/>
  <c r="X416" i="3"/>
  <c r="AD416" i="3"/>
  <c r="AD418" i="3" s="1"/>
  <c r="P979" i="3"/>
  <c r="AB949" i="3"/>
  <c r="AC949" i="3"/>
  <c r="AA862" i="3"/>
  <c r="Z862" i="3"/>
  <c r="Y862" i="3" s="1"/>
  <c r="AC803" i="3"/>
  <c r="AB803" i="3"/>
  <c r="AC757" i="3"/>
  <c r="AB757" i="3"/>
  <c r="AA651" i="3"/>
  <c r="Z651" i="3"/>
  <c r="Y651" i="3" s="1"/>
  <c r="S461" i="3"/>
  <c r="AK461" i="3" s="1"/>
  <c r="AK462" i="3" s="1"/>
  <c r="AL460" i="3" s="1"/>
  <c r="O461" i="3"/>
  <c r="AC599" i="3"/>
  <c r="AD514" i="3"/>
  <c r="AC389" i="3"/>
  <c r="AB389" i="3"/>
  <c r="T269" i="3"/>
  <c r="P269" i="3"/>
  <c r="S252" i="3"/>
  <c r="AK252" i="3" s="1"/>
  <c r="O252" i="3"/>
  <c r="S268" i="3"/>
  <c r="AK268" i="3" s="1"/>
  <c r="O268" i="3"/>
  <c r="O275" i="3" s="1"/>
  <c r="AA1128" i="3"/>
  <c r="Z1128" i="3"/>
  <c r="Y1128" i="3" s="1"/>
  <c r="O1022" i="3"/>
  <c r="Z511" i="3"/>
  <c r="Y511" i="3" s="1"/>
  <c r="AA511" i="3"/>
  <c r="N12" i="3"/>
  <c r="O297" i="3"/>
  <c r="T8" i="3"/>
  <c r="S177" i="3"/>
  <c r="AK177" i="3" s="1"/>
  <c r="O177" i="3"/>
  <c r="AC968" i="3"/>
  <c r="AB925" i="3"/>
  <c r="AC925" i="3"/>
  <c r="AC670" i="3"/>
  <c r="AB670" i="3"/>
  <c r="AD643" i="3"/>
  <c r="P410" i="3"/>
  <c r="AD254" i="3"/>
  <c r="Z231" i="3"/>
  <c r="Y231" i="3" s="1"/>
  <c r="AA231" i="3"/>
  <c r="Z272" i="3"/>
  <c r="Y272" i="3" s="1"/>
  <c r="AB272" i="3" s="1"/>
  <c r="AA272" i="3"/>
  <c r="O254" i="3"/>
  <c r="AB173" i="3"/>
  <c r="AC173" i="3"/>
  <c r="O83" i="3"/>
  <c r="AB942" i="3"/>
  <c r="AC942" i="3"/>
  <c r="AB1029" i="3"/>
  <c r="AC1029" i="3"/>
  <c r="AA409" i="3"/>
  <c r="Z409" i="3"/>
  <c r="Y409" i="3" s="1"/>
  <c r="AD128" i="3"/>
  <c r="AD131" i="3" s="1"/>
  <c r="AD91" i="3"/>
  <c r="S422" i="3"/>
  <c r="AK422" i="3" s="1"/>
  <c r="O422" i="3"/>
  <c r="T409" i="3"/>
  <c r="P409" i="3"/>
  <c r="T392" i="3"/>
  <c r="M11" i="3" s="1"/>
  <c r="T11" i="3"/>
  <c r="O329" i="3"/>
  <c r="S102" i="3"/>
  <c r="AK102" i="3" s="1"/>
  <c r="O102" i="3"/>
  <c r="S68" i="3"/>
  <c r="AK68" i="3" s="1"/>
  <c r="O68" i="3"/>
  <c r="AD50" i="3"/>
  <c r="AD69" i="3"/>
  <c r="P427" i="3"/>
  <c r="O174" i="3"/>
  <c r="P135" i="3"/>
  <c r="P137" i="3" s="1"/>
  <c r="T135" i="3"/>
  <c r="P128" i="3"/>
  <c r="P130" i="3" s="1"/>
  <c r="Z116" i="3"/>
  <c r="Y116" i="3" s="1"/>
  <c r="AB116" i="3" s="1"/>
  <c r="AA116" i="3"/>
  <c r="P115" i="3"/>
  <c r="S108" i="3"/>
  <c r="AK108" i="3" s="1"/>
  <c r="O108" i="3"/>
  <c r="P80" i="3"/>
  <c r="X54" i="3"/>
  <c r="AD54" i="3"/>
  <c r="AD57" i="3" s="1"/>
  <c r="S45" i="3"/>
  <c r="AK45" i="3" s="1"/>
  <c r="O45" i="3"/>
  <c r="O51" i="3" s="1"/>
  <c r="O57" i="3" s="1"/>
  <c r="O63" i="3" s="1"/>
  <c r="O39" i="3"/>
  <c r="O56" i="3"/>
  <c r="S56" i="3"/>
  <c r="AK56" i="3" s="1"/>
  <c r="P116" i="3"/>
  <c r="AC56" i="3"/>
  <c r="O89" i="3"/>
  <c r="P41" i="3"/>
  <c r="T1335" i="3"/>
  <c r="P1335" i="3"/>
  <c r="AB1331" i="3"/>
  <c r="AC1331" i="3"/>
  <c r="X1308" i="3"/>
  <c r="AD1308" i="3"/>
  <c r="T1315" i="3"/>
  <c r="P1315" i="3"/>
  <c r="S1341" i="3"/>
  <c r="O1341" i="3"/>
  <c r="T1281" i="3"/>
  <c r="P1281" i="3"/>
  <c r="AA1273" i="3"/>
  <c r="Z1273" i="3"/>
  <c r="Y1273" i="3" s="1"/>
  <c r="AK1250" i="3"/>
  <c r="T1222" i="3"/>
  <c r="P1222" i="3"/>
  <c r="P1225" i="3" s="1"/>
  <c r="S21" i="3" s="1"/>
  <c r="X1214" i="3"/>
  <c r="AD1214" i="3"/>
  <c r="Z988" i="3"/>
  <c r="Y988" i="3" s="1"/>
  <c r="AA988" i="3"/>
  <c r="S933" i="3"/>
  <c r="AK933" i="3" s="1"/>
  <c r="O933" i="3"/>
  <c r="AD892" i="3"/>
  <c r="X892" i="3"/>
  <c r="T1084" i="3"/>
  <c r="P1084" i="3"/>
  <c r="S1060" i="3"/>
  <c r="AK1060" i="3" s="1"/>
  <c r="O1060" i="3"/>
  <c r="S926" i="3"/>
  <c r="AK926" i="3" s="1"/>
  <c r="O926" i="3"/>
  <c r="S870" i="3"/>
  <c r="AK870" i="3" s="1"/>
  <c r="O870" i="3"/>
  <c r="S951" i="3"/>
  <c r="AK951" i="3" s="1"/>
  <c r="O951" i="3"/>
  <c r="P1059" i="3"/>
  <c r="T1059" i="3"/>
  <c r="O1020" i="3"/>
  <c r="S1020" i="3"/>
  <c r="AK1020" i="3" s="1"/>
  <c r="Z1040" i="3"/>
  <c r="Y1040" i="3" s="1"/>
  <c r="AA1040" i="3"/>
  <c r="X1001" i="3"/>
  <c r="AD1001" i="3"/>
  <c r="AC838" i="3"/>
  <c r="AB838" i="3"/>
  <c r="P679" i="3"/>
  <c r="X678" i="3"/>
  <c r="AD678" i="3"/>
  <c r="AD683" i="3" s="1"/>
  <c r="AB607" i="3"/>
  <c r="AC607" i="3"/>
  <c r="T639" i="3"/>
  <c r="T17" i="3" s="1"/>
  <c r="P639" i="3"/>
  <c r="AC1044" i="3"/>
  <c r="AB1044" i="3"/>
  <c r="AA1014" i="3"/>
  <c r="Z1014" i="3"/>
  <c r="Y1014" i="3" s="1"/>
  <c r="X984" i="3"/>
  <c r="AD984" i="3"/>
  <c r="AB808" i="3"/>
  <c r="AC808" i="3"/>
  <c r="T681" i="3"/>
  <c r="P681" i="3"/>
  <c r="AC989" i="3"/>
  <c r="AB989" i="3"/>
  <c r="AB907" i="3"/>
  <c r="AC907" i="3"/>
  <c r="AC719" i="3"/>
  <c r="AB719" i="3"/>
  <c r="AC993" i="3"/>
  <c r="AB993" i="3"/>
  <c r="AC798" i="3"/>
  <c r="AB798" i="3"/>
  <c r="AA663" i="3"/>
  <c r="Z663" i="3"/>
  <c r="Y663" i="3" s="1"/>
  <c r="Z927" i="3"/>
  <c r="Y927" i="3" s="1"/>
  <c r="AA927" i="3"/>
  <c r="AB562" i="3"/>
  <c r="AC562" i="3"/>
  <c r="Z657" i="3"/>
  <c r="Y657" i="3" s="1"/>
  <c r="AA657" i="3"/>
  <c r="AB372" i="3"/>
  <c r="Y10" i="3" s="1"/>
  <c r="Z10" i="3" s="1"/>
  <c r="Z410" i="3"/>
  <c r="Y410" i="3" s="1"/>
  <c r="AA410" i="3"/>
  <c r="S511" i="3"/>
  <c r="AK511" i="3" s="1"/>
  <c r="AK513" i="3" s="1"/>
  <c r="AL512" i="3" s="1"/>
  <c r="O511" i="3"/>
  <c r="X102" i="3"/>
  <c r="AD102" i="3"/>
  <c r="Z362" i="3"/>
  <c r="Y362" i="3" s="1"/>
  <c r="AB362" i="3" s="1"/>
  <c r="AA362" i="3"/>
  <c r="AA372" i="3" s="1"/>
  <c r="AA625" i="3"/>
  <c r="Z625" i="3"/>
  <c r="Y625" i="3" s="1"/>
  <c r="AB625" i="3" s="1"/>
  <c r="O427" i="3"/>
  <c r="AA270" i="3"/>
  <c r="Z270" i="3"/>
  <c r="Y270" i="3" s="1"/>
  <c r="P102" i="3"/>
  <c r="P103" i="3" s="1"/>
  <c r="T102" i="3"/>
  <c r="X74" i="3"/>
  <c r="AD74" i="3"/>
  <c r="AD80" i="3" s="1"/>
  <c r="AC39" i="3"/>
  <c r="AB108" i="3"/>
  <c r="AC108" i="3"/>
  <c r="AJ587" i="3"/>
  <c r="AI554" i="3"/>
  <c r="AI557" i="3" s="1"/>
  <c r="AI321" i="3"/>
  <c r="AM207" i="3"/>
  <c r="AM232" i="3"/>
  <c r="AI157" i="3"/>
  <c r="AI102" i="3"/>
  <c r="AI271" i="3"/>
  <c r="AI273" i="3"/>
  <c r="AK1190" i="3"/>
  <c r="X1344" i="3"/>
  <c r="AD1344" i="3"/>
  <c r="AD1348" i="3" s="1"/>
  <c r="O1324" i="3"/>
  <c r="O1346" i="3"/>
  <c r="AH1327" i="3"/>
  <c r="AG1327" i="3"/>
  <c r="X1335" i="3"/>
  <c r="AD1335" i="3"/>
  <c r="AC1314" i="3"/>
  <c r="AA1332" i="3"/>
  <c r="Z1332" i="3"/>
  <c r="Y1332" i="3" s="1"/>
  <c r="X1307" i="3"/>
  <c r="AD1307" i="3"/>
  <c r="T1304" i="3"/>
  <c r="P1304" i="3"/>
  <c r="AB1341" i="3"/>
  <c r="AC1341" i="3"/>
  <c r="P1303" i="3"/>
  <c r="X1285" i="3"/>
  <c r="AD1285" i="3"/>
  <c r="T1250" i="3"/>
  <c r="P1250" i="3"/>
  <c r="T1242" i="3"/>
  <c r="P1242" i="3"/>
  <c r="AK1240" i="3"/>
  <c r="S1263" i="3"/>
  <c r="AK1263" i="3" s="1"/>
  <c r="O1263" i="3"/>
  <c r="P1308" i="3"/>
  <c r="T1308" i="3"/>
  <c r="T1331" i="3"/>
  <c r="P1331" i="3"/>
  <c r="S1313" i="3"/>
  <c r="AK1313" i="3" s="1"/>
  <c r="O1313" i="3"/>
  <c r="S1333" i="3"/>
  <c r="AK1333" i="3" s="1"/>
  <c r="O1333" i="3"/>
  <c r="AK1355" i="3"/>
  <c r="AI1357" i="3"/>
  <c r="O1356" i="3"/>
  <c r="S1356" i="3"/>
  <c r="AK1356" i="3" s="1"/>
  <c r="AH1302" i="3"/>
  <c r="AG1302" i="3"/>
  <c r="P1291" i="3"/>
  <c r="T1291" i="3"/>
  <c r="O1276" i="3"/>
  <c r="S1274" i="3"/>
  <c r="AK1274" i="3" s="1"/>
  <c r="O1274" i="3"/>
  <c r="S1243" i="3"/>
  <c r="AK1243" i="3" s="1"/>
  <c r="O1243" i="3"/>
  <c r="O1252" i="3"/>
  <c r="O1240" i="3"/>
  <c r="O1148" i="3"/>
  <c r="S1148" i="3"/>
  <c r="T1214" i="3"/>
  <c r="T21" i="3" s="1"/>
  <c r="P1214" i="3"/>
  <c r="O1290" i="3"/>
  <c r="O1200" i="3"/>
  <c r="O1280" i="3"/>
  <c r="X1250" i="3"/>
  <c r="AD1250" i="3"/>
  <c r="AC1181" i="3"/>
  <c r="AB1156" i="3"/>
  <c r="AC1156" i="3"/>
  <c r="X1246" i="3"/>
  <c r="AD1246" i="3"/>
  <c r="O1169" i="3"/>
  <c r="AG1137" i="3"/>
  <c r="AH1137" i="3"/>
  <c r="AH1225" i="3" s="1"/>
  <c r="U21" i="3" s="1"/>
  <c r="W21" i="3" s="1"/>
  <c r="AC1133" i="3"/>
  <c r="AB1133" i="3"/>
  <c r="X1127" i="3"/>
  <c r="AD1127" i="3"/>
  <c r="AD1134" i="3" s="1"/>
  <c r="AC982" i="3"/>
  <c r="AA1304" i="3"/>
  <c r="Z1304" i="3"/>
  <c r="Y1304" i="3" s="1"/>
  <c r="O1209" i="3"/>
  <c r="AB1201" i="3"/>
  <c r="AC1201" i="3"/>
  <c r="AC1189" i="3"/>
  <c r="AC1152" i="3"/>
  <c r="AB1152" i="3"/>
  <c r="T1088" i="3"/>
  <c r="P1088" i="3"/>
  <c r="S1059" i="3"/>
  <c r="AK1059" i="3" s="1"/>
  <c r="AK1063" i="3" s="1"/>
  <c r="AL1062" i="3" s="1"/>
  <c r="O1059" i="3"/>
  <c r="P1033" i="3"/>
  <c r="T1033" i="3"/>
  <c r="P991" i="3"/>
  <c r="T991" i="3"/>
  <c r="X971" i="3"/>
  <c r="AD971" i="3"/>
  <c r="AD974" i="3" s="1"/>
  <c r="O969" i="3"/>
  <c r="S923" i="3"/>
  <c r="AK923" i="3" s="1"/>
  <c r="O923" i="3"/>
  <c r="AC901" i="3"/>
  <c r="S885" i="3"/>
  <c r="AK885" i="3" s="1"/>
  <c r="AK889" i="3" s="1"/>
  <c r="AL888" i="3" s="1"/>
  <c r="O885" i="3"/>
  <c r="T873" i="3"/>
  <c r="P873" i="3"/>
  <c r="S852" i="3"/>
  <c r="AK852" i="3" s="1"/>
  <c r="AK856" i="3" s="1"/>
  <c r="AL852" i="3" s="1"/>
  <c r="O852" i="3"/>
  <c r="T1079" i="3"/>
  <c r="P1079" i="3"/>
  <c r="AA1046" i="3"/>
  <c r="Z1046" i="3"/>
  <c r="Y1046" i="3" s="1"/>
  <c r="AC1020" i="3"/>
  <c r="AB1020" i="3"/>
  <c r="P985" i="3"/>
  <c r="T985" i="3"/>
  <c r="P933" i="3"/>
  <c r="T933" i="3"/>
  <c r="AA884" i="3"/>
  <c r="Z884" i="3"/>
  <c r="Y884" i="3" s="1"/>
  <c r="S837" i="3"/>
  <c r="AK837" i="3" s="1"/>
  <c r="AL837" i="3" s="1"/>
  <c r="O837" i="3"/>
  <c r="T863" i="3"/>
  <c r="P20" i="3" s="1"/>
  <c r="P863" i="3"/>
  <c r="P893" i="3"/>
  <c r="T893" i="3"/>
  <c r="P942" i="3"/>
  <c r="T942" i="3"/>
  <c r="S970" i="3"/>
  <c r="AK970" i="3" s="1"/>
  <c r="AK974" i="3" s="1"/>
  <c r="O970" i="3"/>
  <c r="T1013" i="3"/>
  <c r="P1013" i="3"/>
  <c r="T1044" i="3"/>
  <c r="P1044" i="3"/>
  <c r="P1067" i="3"/>
  <c r="T1067" i="3"/>
  <c r="S925" i="3"/>
  <c r="AK925" i="3" s="1"/>
  <c r="AK928" i="3" s="1"/>
  <c r="AL926" i="3" s="1"/>
  <c r="O925" i="3"/>
  <c r="T999" i="3"/>
  <c r="P999" i="3"/>
  <c r="S1032" i="3"/>
  <c r="AK1032" i="3" s="1"/>
  <c r="AK1035" i="3" s="1"/>
  <c r="AL1034" i="3" s="1"/>
  <c r="O1032" i="3"/>
  <c r="AA753" i="3"/>
  <c r="Z753" i="3"/>
  <c r="Y753" i="3" s="1"/>
  <c r="AD646" i="3"/>
  <c r="AC638" i="3"/>
  <c r="S628" i="3"/>
  <c r="AK628" i="3" s="1"/>
  <c r="O628" i="3"/>
  <c r="X1176" i="3"/>
  <c r="AD1176" i="3"/>
  <c r="AC1062" i="3"/>
  <c r="AA1053" i="3"/>
  <c r="Z1053" i="3"/>
  <c r="Y1053" i="3" s="1"/>
  <c r="P1016" i="3"/>
  <c r="AA1011" i="3"/>
  <c r="Z1011" i="3"/>
  <c r="Y1011" i="3" s="1"/>
  <c r="AC1003" i="3"/>
  <c r="AB1003" i="3"/>
  <c r="AA981" i="3"/>
  <c r="Z981" i="3"/>
  <c r="Y981" i="3" s="1"/>
  <c r="P943" i="3"/>
  <c r="P894" i="3"/>
  <c r="P888" i="3"/>
  <c r="AD888" i="3"/>
  <c r="AD889" i="3" s="1"/>
  <c r="P844" i="3"/>
  <c r="X843" i="3"/>
  <c r="AD843" i="3"/>
  <c r="AC763" i="3"/>
  <c r="AB763" i="3"/>
  <c r="O679" i="3"/>
  <c r="T671" i="3"/>
  <c r="P671" i="3"/>
  <c r="O637" i="3"/>
  <c r="P635" i="3"/>
  <c r="T635" i="3"/>
  <c r="T745" i="3" s="1"/>
  <c r="M17" i="3" s="1"/>
  <c r="S635" i="3"/>
  <c r="O635" i="3"/>
  <c r="T682" i="3"/>
  <c r="P682" i="3"/>
  <c r="AC1256" i="3"/>
  <c r="AC1197" i="3"/>
  <c r="X1168" i="3"/>
  <c r="AD1168" i="3"/>
  <c r="AH1067" i="3"/>
  <c r="AG1067" i="3"/>
  <c r="X1012" i="3"/>
  <c r="AD1012" i="3"/>
  <c r="O973" i="3"/>
  <c r="X943" i="3"/>
  <c r="AD943" i="3"/>
  <c r="P924" i="3"/>
  <c r="O909" i="3"/>
  <c r="X869" i="3"/>
  <c r="AD869" i="3"/>
  <c r="P861" i="3"/>
  <c r="AB847" i="3"/>
  <c r="AC847" i="3"/>
  <c r="S816" i="3"/>
  <c r="M19" i="3" s="1"/>
  <c r="AB645" i="3"/>
  <c r="AC645" i="3"/>
  <c r="AA640" i="3"/>
  <c r="Z640" i="3"/>
  <c r="Y640" i="3" s="1"/>
  <c r="AB612" i="3"/>
  <c r="AC612" i="3"/>
  <c r="O1159" i="3"/>
  <c r="AC1142" i="3"/>
  <c r="AB1043" i="3"/>
  <c r="AC1043" i="3"/>
  <c r="AA986" i="3"/>
  <c r="Z986" i="3"/>
  <c r="Y986" i="3" s="1"/>
  <c r="Z973" i="3"/>
  <c r="Y973" i="3" s="1"/>
  <c r="AA973" i="3"/>
  <c r="AC961" i="3"/>
  <c r="AC939" i="3"/>
  <c r="AB939" i="3"/>
  <c r="X922" i="3"/>
  <c r="AD922" i="3"/>
  <c r="AC909" i="3"/>
  <c r="AB885" i="3"/>
  <c r="AC885" i="3"/>
  <c r="AA865" i="3"/>
  <c r="Z865" i="3"/>
  <c r="Y865" i="3" s="1"/>
  <c r="O862" i="3"/>
  <c r="P860" i="3"/>
  <c r="AB995" i="3"/>
  <c r="AC995" i="3"/>
  <c r="O883" i="3"/>
  <c r="AB606" i="3"/>
  <c r="AC606" i="3"/>
  <c r="P512" i="3"/>
  <c r="AD462" i="3"/>
  <c r="P455" i="3"/>
  <c r="P463" i="3" s="1"/>
  <c r="S13" i="3" s="1"/>
  <c r="AI374" i="3"/>
  <c r="AI10" i="3" s="1"/>
  <c r="R372" i="3"/>
  <c r="K10" i="3" s="1"/>
  <c r="N10" i="3"/>
  <c r="P1030" i="3"/>
  <c r="AB963" i="3"/>
  <c r="AC963" i="3"/>
  <c r="AB903" i="3"/>
  <c r="AC903" i="3"/>
  <c r="AA782" i="3"/>
  <c r="Z782" i="3"/>
  <c r="Y782" i="3" s="1"/>
  <c r="AB682" i="3"/>
  <c r="AC682" i="3"/>
  <c r="O681" i="3"/>
  <c r="S681" i="3"/>
  <c r="AK681" i="3" s="1"/>
  <c r="AA643" i="3"/>
  <c r="Z643" i="3"/>
  <c r="Y643" i="3" s="1"/>
  <c r="AB639" i="3"/>
  <c r="AC639" i="3"/>
  <c r="Z578" i="3"/>
  <c r="Y578" i="3" s="1"/>
  <c r="AB578" i="3" s="1"/>
  <c r="AA578" i="3"/>
  <c r="AH469" i="3"/>
  <c r="U13" i="3" s="1"/>
  <c r="W13" i="3" s="1"/>
  <c r="Z327" i="3"/>
  <c r="Y327" i="3" s="1"/>
  <c r="AA327" i="3"/>
  <c r="O250" i="3"/>
  <c r="AA924" i="3"/>
  <c r="Z924" i="3"/>
  <c r="Y924" i="3" s="1"/>
  <c r="AD896" i="3"/>
  <c r="X896" i="3"/>
  <c r="AC783" i="3"/>
  <c r="AC734" i="3"/>
  <c r="AB734" i="3"/>
  <c r="AB602" i="3"/>
  <c r="AC602" i="3"/>
  <c r="AH586" i="3"/>
  <c r="U16" i="3" s="1"/>
  <c r="W16" i="3" s="1"/>
  <c r="S460" i="3"/>
  <c r="AK460" i="3" s="1"/>
  <c r="O460" i="3"/>
  <c r="S328" i="3"/>
  <c r="AK328" i="3" s="1"/>
  <c r="AK330" i="3" s="1"/>
  <c r="AL327" i="3" s="1"/>
  <c r="O328" i="3"/>
  <c r="S315" i="3"/>
  <c r="AK315" i="3" s="1"/>
  <c r="AK316" i="3" s="1"/>
  <c r="O315" i="3"/>
  <c r="AC644" i="3"/>
  <c r="AA504" i="3"/>
  <c r="AA514" i="3" s="1"/>
  <c r="Z504" i="3"/>
  <c r="Y504" i="3" s="1"/>
  <c r="R390" i="3"/>
  <c r="AJ390" i="3" s="1"/>
  <c r="N390" i="3"/>
  <c r="AE390" i="3" s="1"/>
  <c r="P252" i="3"/>
  <c r="T252" i="3"/>
  <c r="T270" i="3"/>
  <c r="P270" i="3"/>
  <c r="AG207" i="3"/>
  <c r="AH207" i="3"/>
  <c r="X1131" i="3"/>
  <c r="AD1131" i="3"/>
  <c r="AD1022" i="3"/>
  <c r="AD1026" i="3" s="1"/>
  <c r="Z992" i="3"/>
  <c r="Y992" i="3" s="1"/>
  <c r="AA992" i="3"/>
  <c r="P980" i="3"/>
  <c r="AA672" i="3"/>
  <c r="Z672" i="3"/>
  <c r="Y672" i="3" s="1"/>
  <c r="AB672" i="3" s="1"/>
  <c r="P505" i="3"/>
  <c r="AC297" i="3"/>
  <c r="S175" i="3"/>
  <c r="AK175" i="3" s="1"/>
  <c r="O175" i="3"/>
  <c r="AB1084" i="3"/>
  <c r="AC1084" i="3"/>
  <c r="P968" i="3"/>
  <c r="Z926" i="3"/>
  <c r="Y926" i="3" s="1"/>
  <c r="AA926" i="3"/>
  <c r="X624" i="3"/>
  <c r="AD624" i="3"/>
  <c r="AD631" i="3" s="1"/>
  <c r="AC597" i="3"/>
  <c r="AD410" i="3"/>
  <c r="AC268" i="3"/>
  <c r="AB268" i="3"/>
  <c r="O249" i="3"/>
  <c r="Z248" i="3"/>
  <c r="Y248" i="3" s="1"/>
  <c r="AA248" i="3"/>
  <c r="O232" i="3"/>
  <c r="O234" i="3" s="1"/>
  <c r="P8" i="3"/>
  <c r="N8" i="3"/>
  <c r="S208" i="3"/>
  <c r="O208" i="3"/>
  <c r="AB916" i="3"/>
  <c r="AC916" i="3"/>
  <c r="AD103" i="3"/>
  <c r="AC77" i="3"/>
  <c r="S504" i="3"/>
  <c r="O504" i="3"/>
  <c r="T504" i="3"/>
  <c r="P504" i="3"/>
  <c r="P422" i="3"/>
  <c r="T422" i="3"/>
  <c r="T426" i="3"/>
  <c r="P426" i="3"/>
  <c r="P329" i="3"/>
  <c r="AC329" i="3"/>
  <c r="AC298" i="3"/>
  <c r="AB298" i="3"/>
  <c r="AC218" i="3"/>
  <c r="P234" i="3"/>
  <c r="S7" i="3" s="1"/>
  <c r="AC177" i="3"/>
  <c r="AB177" i="3"/>
  <c r="N6" i="3"/>
  <c r="X114" i="3"/>
  <c r="AD114" i="3"/>
  <c r="AD117" i="3" s="1"/>
  <c r="AB40" i="3"/>
  <c r="AC40" i="3"/>
  <c r="AC422" i="3"/>
  <c r="AB422" i="3"/>
  <c r="AD299" i="3"/>
  <c r="AA253" i="3"/>
  <c r="Z253" i="3"/>
  <c r="Y253" i="3" s="1"/>
  <c r="AA230" i="3"/>
  <c r="Z230" i="3"/>
  <c r="Y230" i="3" s="1"/>
  <c r="T179" i="3"/>
  <c r="M6" i="3" s="1"/>
  <c r="T6" i="3"/>
  <c r="AA136" i="3"/>
  <c r="Z136" i="3"/>
  <c r="Y136" i="3" s="1"/>
  <c r="P109" i="3"/>
  <c r="O84" i="3"/>
  <c r="O75" i="3"/>
  <c r="S74" i="3"/>
  <c r="AK74" i="3" s="1"/>
  <c r="AK80" i="3" s="1"/>
  <c r="O74" i="3"/>
  <c r="O67" i="3"/>
  <c r="O62" i="3"/>
  <c r="P57" i="3"/>
  <c r="Z38" i="3"/>
  <c r="Y38" i="3" s="1"/>
  <c r="AA38" i="3"/>
  <c r="P42" i="3"/>
  <c r="T5" i="3"/>
  <c r="O66" i="3"/>
  <c r="AB36" i="3"/>
  <c r="AC36" i="3"/>
  <c r="P50" i="3"/>
  <c r="P51" i="3" s="1"/>
  <c r="AC1356" i="3"/>
  <c r="AB1356" i="3"/>
  <c r="AB1333" i="3"/>
  <c r="AC1333" i="3"/>
  <c r="X1324" i="3"/>
  <c r="AD1324" i="3"/>
  <c r="AB1336" i="3"/>
  <c r="AC1336" i="3"/>
  <c r="AD1357" i="3"/>
  <c r="T1287" i="3"/>
  <c r="P1287" i="3"/>
  <c r="AC1296" i="3"/>
  <c r="O1275" i="3"/>
  <c r="S1275" i="3"/>
  <c r="AK1275" i="3" s="1"/>
  <c r="AA1281" i="3"/>
  <c r="Z1281" i="3"/>
  <c r="Y1281" i="3" s="1"/>
  <c r="O1140" i="3"/>
  <c r="S1140" i="3"/>
  <c r="AK1140" i="3" s="1"/>
  <c r="P1290" i="3"/>
  <c r="AI1215" i="3"/>
  <c r="AK1208" i="3"/>
  <c r="T1011" i="3"/>
  <c r="P1011" i="3"/>
  <c r="S985" i="3"/>
  <c r="AK985" i="3" s="1"/>
  <c r="AK996" i="3" s="1"/>
  <c r="AL986" i="3" s="1"/>
  <c r="O985" i="3"/>
  <c r="T952" i="3"/>
  <c r="P952" i="3"/>
  <c r="O1166" i="3"/>
  <c r="AG1158" i="3"/>
  <c r="AH1158" i="3"/>
  <c r="S1041" i="3"/>
  <c r="O1041" i="3"/>
  <c r="AH962" i="3"/>
  <c r="AG962" i="3"/>
  <c r="P886" i="3"/>
  <c r="T886" i="3"/>
  <c r="X1172" i="3"/>
  <c r="AD1172" i="3"/>
  <c r="AC1143" i="3"/>
  <c r="AD1049" i="3"/>
  <c r="O894" i="3"/>
  <c r="AB776" i="3"/>
  <c r="AC776" i="3"/>
  <c r="AB664" i="3"/>
  <c r="AC664" i="3"/>
  <c r="Z888" i="3"/>
  <c r="Y888" i="3" s="1"/>
  <c r="AA888" i="3"/>
  <c r="AB604" i="3"/>
  <c r="AC604" i="3"/>
  <c r="Z1024" i="3"/>
  <c r="Y1024" i="3" s="1"/>
  <c r="AA1024" i="3"/>
  <c r="X932" i="3"/>
  <c r="AD932" i="3"/>
  <c r="AD934" i="3" s="1"/>
  <c r="AB886" i="3"/>
  <c r="AC886" i="3"/>
  <c r="AD866" i="3"/>
  <c r="O586" i="3"/>
  <c r="AK527" i="3"/>
  <c r="N16" i="3"/>
  <c r="P16" i="3"/>
  <c r="AA390" i="3"/>
  <c r="AA392" i="3" s="1"/>
  <c r="Z390" i="3"/>
  <c r="Y390" i="3" s="1"/>
  <c r="AB950" i="3"/>
  <c r="AC950" i="3"/>
  <c r="Z733" i="3"/>
  <c r="Y733" i="3" s="1"/>
  <c r="AA733" i="3"/>
  <c r="Z534" i="3"/>
  <c r="Y534" i="3" s="1"/>
  <c r="AB534" i="3" s="1"/>
  <c r="AA534" i="3"/>
  <c r="AA370" i="3"/>
  <c r="Z370" i="3"/>
  <c r="Y370" i="3" s="1"/>
  <c r="AB370" i="3" s="1"/>
  <c r="AB1007" i="3"/>
  <c r="AC1007" i="3"/>
  <c r="AA681" i="3"/>
  <c r="Z681" i="3"/>
  <c r="Y681" i="3" s="1"/>
  <c r="T561" i="3"/>
  <c r="P561" i="3"/>
  <c r="AB214" i="3"/>
  <c r="AC214" i="3"/>
  <c r="S135" i="3"/>
  <c r="AK135" i="3" s="1"/>
  <c r="AK138" i="3" s="1"/>
  <c r="O135" i="3"/>
  <c r="Z917" i="3"/>
  <c r="Y917" i="3" s="1"/>
  <c r="AA917" i="3"/>
  <c r="Z626" i="3"/>
  <c r="Y626" i="3" s="1"/>
  <c r="AA626" i="3"/>
  <c r="X175" i="3"/>
  <c r="AD175" i="3"/>
  <c r="AA328" i="3"/>
  <c r="Z328" i="3"/>
  <c r="Y328" i="3" s="1"/>
  <c r="S114" i="3"/>
  <c r="O114" i="3"/>
  <c r="AB987" i="3"/>
  <c r="AC987" i="3"/>
  <c r="AD411" i="3"/>
  <c r="P392" i="3"/>
  <c r="AA320" i="3"/>
  <c r="Z320" i="3"/>
  <c r="Y320" i="3" s="1"/>
  <c r="AC388" i="3"/>
  <c r="AD388" i="3"/>
  <c r="AB388" i="3"/>
  <c r="AC250" i="3"/>
  <c r="AB250" i="3"/>
  <c r="Z137" i="3"/>
  <c r="Y137" i="3" s="1"/>
  <c r="AB137" i="3" s="1"/>
  <c r="AA137" i="3"/>
  <c r="T136" i="3"/>
  <c r="T139" i="3" s="1"/>
  <c r="M5" i="3" s="1"/>
  <c r="P136" i="3"/>
  <c r="AA115" i="3"/>
  <c r="Z115" i="3"/>
  <c r="Y115" i="3" s="1"/>
  <c r="AD63" i="3"/>
  <c r="Z50" i="3"/>
  <c r="Y50" i="3" s="1"/>
  <c r="AA50" i="3"/>
  <c r="O47" i="3"/>
  <c r="S47" i="3"/>
  <c r="AK47" i="3" s="1"/>
  <c r="O76" i="3"/>
  <c r="S76" i="3"/>
  <c r="AK76" i="3" s="1"/>
  <c r="AI934" i="3"/>
  <c r="AI884" i="3"/>
  <c r="AM231" i="3"/>
  <c r="AI50" i="3"/>
  <c r="AI51" i="3" s="1"/>
  <c r="AI48" i="3"/>
  <c r="AJ276" i="3"/>
  <c r="AJ8" i="3" s="1"/>
  <c r="AK934" i="3"/>
  <c r="AL933" i="3" s="1"/>
  <c r="AI269" i="3"/>
  <c r="AI274" i="3" s="1"/>
  <c r="O1335" i="3"/>
  <c r="P1341" i="3"/>
  <c r="AC1347" i="3"/>
  <c r="AB1347" i="3"/>
  <c r="O1318" i="3"/>
  <c r="AC1346" i="3"/>
  <c r="AC1337" i="3"/>
  <c r="X1315" i="3"/>
  <c r="AD1315" i="3"/>
  <c r="P1342" i="3"/>
  <c r="AC1317" i="3"/>
  <c r="AC1316" i="3"/>
  <c r="S1308" i="3"/>
  <c r="AK1308" i="3" s="1"/>
  <c r="O1308" i="3"/>
  <c r="O1347" i="3"/>
  <c r="S1347" i="3"/>
  <c r="AK1347" i="3" s="1"/>
  <c r="P1355" i="3"/>
  <c r="AA1318" i="3"/>
  <c r="Z1318" i="3"/>
  <c r="Y1318" i="3" s="1"/>
  <c r="X1298" i="3"/>
  <c r="AD1298" i="3"/>
  <c r="X1295" i="3"/>
  <c r="AD1295" i="3"/>
  <c r="AH1285" i="3"/>
  <c r="AG1285" i="3"/>
  <c r="O1283" i="3"/>
  <c r="T1254" i="3"/>
  <c r="P1254" i="3"/>
  <c r="T1246" i="3"/>
  <c r="P1246" i="3"/>
  <c r="P1359" i="3" s="1"/>
  <c r="S22" i="3" s="1"/>
  <c r="AA1255" i="3"/>
  <c r="Z1255" i="3"/>
  <c r="Y1255" i="3" s="1"/>
  <c r="AA1251" i="3"/>
  <c r="Z1251" i="3"/>
  <c r="Y1251" i="3" s="1"/>
  <c r="X1243" i="3"/>
  <c r="AD1243" i="3"/>
  <c r="P1298" i="3"/>
  <c r="T1298" i="3"/>
  <c r="O1271" i="3"/>
  <c r="S1271" i="3"/>
  <c r="S1312" i="3"/>
  <c r="O1312" i="3"/>
  <c r="AK1280" i="3"/>
  <c r="S1336" i="3"/>
  <c r="AK1336" i="3" s="1"/>
  <c r="O1336" i="3"/>
  <c r="S1282" i="3"/>
  <c r="AK1282" i="3" s="1"/>
  <c r="O1282" i="3"/>
  <c r="AC1276" i="3"/>
  <c r="T1273" i="3"/>
  <c r="P1273" i="3"/>
  <c r="P1272" i="3"/>
  <c r="S1255" i="3"/>
  <c r="AK1255" i="3" s="1"/>
  <c r="O1255" i="3"/>
  <c r="AB1292" i="3"/>
  <c r="AC1292" i="3"/>
  <c r="X1242" i="3"/>
  <c r="AD1242" i="3"/>
  <c r="AD1247" i="3" s="1"/>
  <c r="Z1221" i="3"/>
  <c r="Y1221" i="3" s="1"/>
  <c r="AA1221" i="3"/>
  <c r="O1212" i="3"/>
  <c r="X1262" i="3"/>
  <c r="AD1262" i="3"/>
  <c r="AD1264" i="3" s="1"/>
  <c r="O1244" i="3"/>
  <c r="S1119" i="3"/>
  <c r="AK1119" i="3" s="1"/>
  <c r="O1119" i="3"/>
  <c r="G1225" i="3" s="1"/>
  <c r="AK1221" i="3"/>
  <c r="AC1290" i="3"/>
  <c r="AC1200" i="3"/>
  <c r="X1167" i="3"/>
  <c r="AD1167" i="3"/>
  <c r="AC1165" i="3"/>
  <c r="O1163" i="3"/>
  <c r="X1186" i="3"/>
  <c r="AD1186" i="3"/>
  <c r="T1098" i="3"/>
  <c r="P1098" i="3"/>
  <c r="AC1034" i="3"/>
  <c r="X1222" i="3"/>
  <c r="AD1222" i="3"/>
  <c r="AI1222" i="3"/>
  <c r="AI1223" i="3" s="1"/>
  <c r="X1199" i="3"/>
  <c r="AD1199" i="3"/>
  <c r="O1196" i="3"/>
  <c r="AB1139" i="3"/>
  <c r="AC1139" i="3"/>
  <c r="AA1137" i="3"/>
  <c r="Z1137" i="3"/>
  <c r="Y1137" i="3" s="1"/>
  <c r="AC1129" i="3"/>
  <c r="P1042" i="3"/>
  <c r="P709" i="3"/>
  <c r="T709" i="3"/>
  <c r="X1254" i="3"/>
  <c r="AD1254" i="3"/>
  <c r="O1189" i="3"/>
  <c r="S1084" i="3"/>
  <c r="AK1084" i="3" s="1"/>
  <c r="O1084" i="3"/>
  <c r="O1045" i="3"/>
  <c r="AA1016" i="3"/>
  <c r="Z1016" i="3"/>
  <c r="Y1016" i="3" s="1"/>
  <c r="T1004" i="3"/>
  <c r="P1004" i="3"/>
  <c r="X985" i="3"/>
  <c r="AD985" i="3"/>
  <c r="AD941" i="3"/>
  <c r="X941" i="3"/>
  <c r="X933" i="3"/>
  <c r="AD933" i="3"/>
  <c r="AD902" i="3"/>
  <c r="AD904" i="3" s="1"/>
  <c r="X902" i="3"/>
  <c r="T871" i="3"/>
  <c r="T20" i="3" s="1"/>
  <c r="P871" i="3"/>
  <c r="AC848" i="3"/>
  <c r="P638" i="3"/>
  <c r="X1175" i="3"/>
  <c r="AD1175" i="3"/>
  <c r="AC1166" i="3"/>
  <c r="X1158" i="3"/>
  <c r="AD1158" i="3"/>
  <c r="P1089" i="3"/>
  <c r="T1089" i="3"/>
  <c r="AA1022" i="3"/>
  <c r="Z1022" i="3"/>
  <c r="Y1022" i="3" s="1"/>
  <c r="AD1014" i="3"/>
  <c r="P995" i="3"/>
  <c r="T995" i="3"/>
  <c r="AD927" i="3"/>
  <c r="O901" i="3"/>
  <c r="P865" i="3"/>
  <c r="P1100" i="3" s="1"/>
  <c r="S20" i="3" s="1"/>
  <c r="S869" i="3"/>
  <c r="AK869" i="3" s="1"/>
  <c r="O869" i="3"/>
  <c r="P885" i="3"/>
  <c r="T885" i="3"/>
  <c r="P903" i="3"/>
  <c r="T903" i="3"/>
  <c r="S950" i="3"/>
  <c r="AK950" i="3" s="1"/>
  <c r="O950" i="3"/>
  <c r="S971" i="3"/>
  <c r="AK971" i="3" s="1"/>
  <c r="O971" i="3"/>
  <c r="T1021" i="3"/>
  <c r="P1021" i="3"/>
  <c r="S1047" i="3"/>
  <c r="AK1047" i="3" s="1"/>
  <c r="O1047" i="3"/>
  <c r="S896" i="3"/>
  <c r="AK896" i="3" s="1"/>
  <c r="O896" i="3"/>
  <c r="S908" i="3"/>
  <c r="AK908" i="3" s="1"/>
  <c r="O908" i="3"/>
  <c r="O939" i="3"/>
  <c r="S939" i="3"/>
  <c r="AK939" i="3" s="1"/>
  <c r="T990" i="3"/>
  <c r="P990" i="3"/>
  <c r="O1003" i="3"/>
  <c r="S1003" i="3"/>
  <c r="AK1003" i="3" s="1"/>
  <c r="AK1017" i="3" s="1"/>
  <c r="AL1005" i="3" s="1"/>
  <c r="S1033" i="3"/>
  <c r="AK1033" i="3" s="1"/>
  <c r="O1033" i="3"/>
  <c r="S1067" i="3"/>
  <c r="AK1067" i="3" s="1"/>
  <c r="O1067" i="3"/>
  <c r="S1043" i="3"/>
  <c r="AK1043" i="3" s="1"/>
  <c r="O1043" i="3"/>
  <c r="AA792" i="3"/>
  <c r="Z792" i="3"/>
  <c r="Y792" i="3" s="1"/>
  <c r="R816" i="3"/>
  <c r="K19" i="3" s="1"/>
  <c r="P19" i="3"/>
  <c r="N19" i="3"/>
  <c r="AH765" i="3"/>
  <c r="U18" i="3" s="1"/>
  <c r="W18" i="3" s="1"/>
  <c r="AD681" i="3"/>
  <c r="AG1176" i="3"/>
  <c r="AH1176" i="3"/>
  <c r="O1149" i="3"/>
  <c r="O1143" i="3"/>
  <c r="AD1024" i="3"/>
  <c r="P986" i="3"/>
  <c r="AC953" i="3"/>
  <c r="AD917" i="3"/>
  <c r="P906" i="3"/>
  <c r="Z876" i="3"/>
  <c r="Y876" i="3" s="1"/>
  <c r="AA876" i="3"/>
  <c r="AA853" i="3"/>
  <c r="Z853" i="3"/>
  <c r="Y853" i="3" s="1"/>
  <c r="O835" i="3"/>
  <c r="AA762" i="3"/>
  <c r="Z762" i="3"/>
  <c r="Y762" i="3" s="1"/>
  <c r="AB729" i="3"/>
  <c r="AC729" i="3"/>
  <c r="S694" i="3"/>
  <c r="AK694" i="3" s="1"/>
  <c r="O694" i="3"/>
  <c r="T688" i="3"/>
  <c r="P688" i="3"/>
  <c r="AK619" i="3"/>
  <c r="AI631" i="3"/>
  <c r="AB603" i="3"/>
  <c r="AC603" i="3"/>
  <c r="S687" i="3"/>
  <c r="AK687" i="3" s="1"/>
  <c r="O687" i="3"/>
  <c r="Z1195" i="3"/>
  <c r="Y1195" i="3" s="1"/>
  <c r="AA1195" i="3"/>
  <c r="AB1140" i="3"/>
  <c r="AC1140" i="3"/>
  <c r="AD1122" i="3"/>
  <c r="O1031" i="3"/>
  <c r="AB1025" i="3"/>
  <c r="AC1025" i="3"/>
  <c r="P1008" i="3"/>
  <c r="AB1005" i="3"/>
  <c r="AC1005" i="3"/>
  <c r="AB990" i="3"/>
  <c r="AC990" i="3"/>
  <c r="P973" i="3"/>
  <c r="AB969" i="3"/>
  <c r="AC969" i="3"/>
  <c r="O924" i="3"/>
  <c r="O917" i="3"/>
  <c r="X906" i="3"/>
  <c r="AD906" i="3"/>
  <c r="AD912" i="3" s="1"/>
  <c r="AH869" i="3"/>
  <c r="AH1100" i="3" s="1"/>
  <c r="U20" i="3" s="1"/>
  <c r="W20" i="3" s="1"/>
  <c r="AG869" i="3"/>
  <c r="AB758" i="3"/>
  <c r="AC758" i="3"/>
  <c r="AI653" i="3"/>
  <c r="AK651" i="3"/>
  <c r="AA1210" i="3"/>
  <c r="Z1210" i="3"/>
  <c r="Y1210" i="3" s="1"/>
  <c r="AC1159" i="3"/>
  <c r="AA1150" i="3"/>
  <c r="Z1150" i="3"/>
  <c r="Y1150" i="3" s="1"/>
  <c r="AD981" i="3"/>
  <c r="AD996" i="3" s="1"/>
  <c r="AD944" i="3"/>
  <c r="AB877" i="3"/>
  <c r="AC877" i="3"/>
  <c r="AC872" i="3"/>
  <c r="AG865" i="3"/>
  <c r="AH865" i="3"/>
  <c r="AA1120" i="3"/>
  <c r="Z1120" i="3"/>
  <c r="Y1120" i="3" s="1"/>
  <c r="AC1004" i="3"/>
  <c r="AB1004" i="3"/>
  <c r="AC883" i="3"/>
  <c r="T463" i="3"/>
  <c r="M13" i="3" s="1"/>
  <c r="T12" i="3"/>
  <c r="AD423" i="3"/>
  <c r="T321" i="3"/>
  <c r="T9" i="3" s="1"/>
  <c r="P321" i="3"/>
  <c r="X1041" i="3"/>
  <c r="AD1041" i="3"/>
  <c r="AD736" i="3"/>
  <c r="S682" i="3"/>
  <c r="AK682" i="3" s="1"/>
  <c r="O682" i="3"/>
  <c r="S690" i="3"/>
  <c r="AK690" i="3" s="1"/>
  <c r="AL690" i="3" s="1"/>
  <c r="O690" i="3"/>
  <c r="G745" i="3" s="1"/>
  <c r="AB601" i="3"/>
  <c r="AC601" i="3"/>
  <c r="AA584" i="3"/>
  <c r="Z584" i="3"/>
  <c r="Y584" i="3" s="1"/>
  <c r="AB584" i="3" s="1"/>
  <c r="S327" i="3"/>
  <c r="AK327" i="3" s="1"/>
  <c r="O327" i="3"/>
  <c r="O298" i="3"/>
  <c r="T214" i="3"/>
  <c r="T234" i="3" s="1"/>
  <c r="M7" i="3" s="1"/>
  <c r="P214" i="3"/>
  <c r="P202" i="3"/>
  <c r="Z1154" i="3"/>
  <c r="Y1154" i="3" s="1"/>
  <c r="AA1154" i="3"/>
  <c r="AB1000" i="3"/>
  <c r="AC1000" i="3"/>
  <c r="AC979" i="3"/>
  <c r="AA897" i="3"/>
  <c r="Z897" i="3"/>
  <c r="Y897" i="3" s="1"/>
  <c r="AA878" i="3"/>
  <c r="Z878" i="3"/>
  <c r="Y878" i="3" s="1"/>
  <c r="AC845" i="3"/>
  <c r="AB845" i="3"/>
  <c r="AH816" i="3"/>
  <c r="U19" i="3" s="1"/>
  <c r="W19" i="3" s="1"/>
  <c r="AB610" i="3"/>
  <c r="AC610" i="3"/>
  <c r="P562" i="3"/>
  <c r="T562" i="3"/>
  <c r="S294" i="3"/>
  <c r="AI299" i="3" s="1"/>
  <c r="O294" i="3"/>
  <c r="O299" i="3" s="1"/>
  <c r="AD209" i="3"/>
  <c r="AA1008" i="3"/>
  <c r="Z1008" i="3"/>
  <c r="Y1008" i="3" s="1"/>
  <c r="AC595" i="3"/>
  <c r="AC391" i="3"/>
  <c r="T253" i="3"/>
  <c r="T276" i="3" s="1"/>
  <c r="M8" i="3" s="1"/>
  <c r="P253" i="3"/>
  <c r="AC229" i="3"/>
  <c r="AB229" i="3"/>
  <c r="AA207" i="3"/>
  <c r="Z207" i="3"/>
  <c r="Y207" i="3" s="1"/>
  <c r="AB918" i="3"/>
  <c r="AC918" i="3"/>
  <c r="X837" i="3"/>
  <c r="AD837" i="3"/>
  <c r="AD840" i="3" s="1"/>
  <c r="AB605" i="3"/>
  <c r="AC605" i="3"/>
  <c r="AA321" i="3"/>
  <c r="Z321" i="3"/>
  <c r="Y321" i="3" s="1"/>
  <c r="P297" i="3"/>
  <c r="P331" i="3" s="1"/>
  <c r="S9" i="3" s="1"/>
  <c r="X296" i="3"/>
  <c r="AD296" i="3"/>
  <c r="AD269" i="3"/>
  <c r="AD274" i="3" s="1"/>
  <c r="X269" i="3"/>
  <c r="O173" i="3"/>
  <c r="AC699" i="3"/>
  <c r="AB699" i="3"/>
  <c r="AA677" i="3"/>
  <c r="Z677" i="3"/>
  <c r="Y677" i="3" s="1"/>
  <c r="O643" i="3"/>
  <c r="AA561" i="3"/>
  <c r="Z561" i="3"/>
  <c r="Y561" i="3" s="1"/>
  <c r="X461" i="3"/>
  <c r="AD461" i="3"/>
  <c r="AC432" i="3"/>
  <c r="AA426" i="3"/>
  <c r="Z426" i="3"/>
  <c r="Y426" i="3" s="1"/>
  <c r="AC295" i="3"/>
  <c r="AC249" i="3"/>
  <c r="AC232" i="3"/>
  <c r="AB251" i="3"/>
  <c r="AC251" i="3"/>
  <c r="AC315" i="3"/>
  <c r="AB315" i="3"/>
  <c r="P86" i="3"/>
  <c r="AC598" i="3"/>
  <c r="T511" i="3"/>
  <c r="P511" i="3"/>
  <c r="S409" i="3"/>
  <c r="O409" i="3"/>
  <c r="S416" i="3"/>
  <c r="O416" i="3"/>
  <c r="S421" i="3"/>
  <c r="AK421" i="3" s="1"/>
  <c r="AK423" i="3" s="1"/>
  <c r="AL422" i="3" s="1"/>
  <c r="O421" i="3"/>
  <c r="AC208" i="3"/>
  <c r="AB208" i="3"/>
  <c r="AC197" i="3"/>
  <c r="Z172" i="3"/>
  <c r="Y172" i="3" s="1"/>
  <c r="AA172" i="3"/>
  <c r="X135" i="3"/>
  <c r="AD135" i="3"/>
  <c r="AD138" i="3" s="1"/>
  <c r="T75" i="3"/>
  <c r="T4" i="3" s="1"/>
  <c r="P75" i="3"/>
  <c r="T55" i="3"/>
  <c r="T110" i="3" s="1"/>
  <c r="M4" i="3" s="1"/>
  <c r="P55" i="3"/>
  <c r="P110" i="3" s="1"/>
  <c r="S4" i="3" s="1"/>
  <c r="AB49" i="3"/>
  <c r="AC49" i="3"/>
  <c r="P61" i="3"/>
  <c r="P63" i="3" s="1"/>
  <c r="O41" i="3"/>
  <c r="AC460" i="3"/>
  <c r="AB460" i="3"/>
  <c r="AD233" i="3"/>
  <c r="AC174" i="3"/>
  <c r="S107" i="3"/>
  <c r="AK107" i="3" s="1"/>
  <c r="AK109" i="3" s="1"/>
  <c r="AL108" i="3" s="1"/>
  <c r="O107" i="3"/>
  <c r="O101" i="3"/>
  <c r="AD86" i="3"/>
  <c r="P68" i="3"/>
  <c r="T68" i="3"/>
  <c r="S54" i="3"/>
  <c r="AK54" i="3" s="1"/>
  <c r="AK57" i="3" s="1"/>
  <c r="O54" i="3"/>
  <c r="X45" i="3"/>
  <c r="AD45" i="3"/>
  <c r="AD51" i="3" s="1"/>
  <c r="X37" i="3"/>
  <c r="AD37" i="3"/>
  <c r="AD42" i="3" s="1"/>
  <c r="S36" i="3"/>
  <c r="O36" i="3"/>
  <c r="AD115" i="3"/>
  <c r="O100" i="3"/>
  <c r="AB129" i="3"/>
  <c r="AC129" i="3"/>
  <c r="Z46" i="3"/>
  <c r="Y46" i="3" s="1"/>
  <c r="AA46" i="3"/>
  <c r="AC47" i="3"/>
  <c r="O61" i="3"/>
  <c r="AI862" i="3"/>
  <c r="AI687" i="3"/>
  <c r="AL231" i="3"/>
  <c r="AI1174" i="3"/>
  <c r="AI941" i="3"/>
  <c r="AI689" i="3"/>
  <c r="AI861" i="3"/>
  <c r="AI252" i="3"/>
  <c r="AJ745" i="3"/>
  <c r="AM689" i="3" s="1"/>
  <c r="AL230" i="3"/>
  <c r="AI1033" i="3"/>
  <c r="AI1032" i="3"/>
  <c r="AI1034" i="3"/>
  <c r="AI1030" i="3"/>
  <c r="AI940" i="3"/>
  <c r="AI864" i="3"/>
  <c r="AI690" i="3"/>
  <c r="AL229" i="3"/>
  <c r="AK1090" i="3"/>
  <c r="AL1089" i="3" s="1"/>
  <c r="AI1021" i="3"/>
  <c r="AI950" i="3"/>
  <c r="AI845" i="3"/>
  <c r="AI456" i="3"/>
  <c r="AI844" i="3"/>
  <c r="AI294" i="3"/>
  <c r="AI61" i="3"/>
  <c r="AI1043" i="3"/>
  <c r="AI1025" i="3"/>
  <c r="AI954" i="3"/>
  <c r="AI962" i="3"/>
  <c r="AI1090" i="3"/>
  <c r="AI1022" i="3"/>
  <c r="AI871" i="3"/>
  <c r="AL427" i="3"/>
  <c r="AI296" i="3"/>
  <c r="AL1117" i="3"/>
  <c r="AI56" i="3"/>
  <c r="AI54" i="3"/>
  <c r="AI55" i="3"/>
  <c r="AM690" i="3"/>
  <c r="AM658" i="3"/>
  <c r="AI1197" i="3"/>
  <c r="AI1177" i="3"/>
  <c r="AI1175" i="3"/>
  <c r="AI1023" i="3"/>
  <c r="AI939" i="3"/>
  <c r="AI1176" i="3"/>
  <c r="AI865" i="3"/>
  <c r="AI860" i="3"/>
  <c r="AI866" i="3" s="1"/>
  <c r="AL664" i="3"/>
  <c r="AI426" i="3"/>
  <c r="AI428" i="3" s="1"/>
  <c r="AI297" i="3"/>
  <c r="AI295" i="3"/>
  <c r="AI172" i="3"/>
  <c r="AI176" i="3"/>
  <c r="AI76" i="3"/>
  <c r="AI116" i="3"/>
  <c r="AI117" i="3" s="1"/>
  <c r="AM512" i="3"/>
  <c r="AJ15" i="3"/>
  <c r="AI969" i="3"/>
  <c r="AI1031" i="3"/>
  <c r="AI1024" i="3"/>
  <c r="AI942" i="3"/>
  <c r="AI938" i="3"/>
  <c r="AI944" i="3" s="1"/>
  <c r="AK912" i="3"/>
  <c r="AL906" i="3" s="1"/>
  <c r="AM505" i="3"/>
  <c r="AM506" i="3" s="1"/>
  <c r="AI410" i="3"/>
  <c r="AI411" i="3" s="1"/>
  <c r="AL670" i="3"/>
  <c r="AI327" i="3"/>
  <c r="AM250" i="3"/>
  <c r="AI248" i="3"/>
  <c r="AM214" i="3"/>
  <c r="AM270" i="3"/>
  <c r="AM230" i="3"/>
  <c r="AI173" i="3"/>
  <c r="AI129" i="3"/>
  <c r="AI122" i="3"/>
  <c r="AI90" i="3"/>
  <c r="AI91" i="3" s="1"/>
  <c r="AI137" i="3"/>
  <c r="AI138" i="3" s="1"/>
  <c r="AK274" i="3"/>
  <c r="AL268" i="3" s="1"/>
  <c r="AI114" i="3"/>
  <c r="AI316" i="3"/>
  <c r="AI107" i="3"/>
  <c r="AL271" i="3"/>
  <c r="AI306" i="3"/>
  <c r="AI838" i="3"/>
  <c r="AI886" i="3"/>
  <c r="AI253" i="3"/>
  <c r="AI249" i="3"/>
  <c r="AI1116" i="3"/>
  <c r="AI1115" i="3"/>
  <c r="AI1047" i="3"/>
  <c r="AI963" i="3"/>
  <c r="AI952" i="3"/>
  <c r="AI925" i="3"/>
  <c r="AI896" i="3"/>
  <c r="AI924" i="3"/>
  <c r="AI911" i="3"/>
  <c r="AI902" i="3"/>
  <c r="AI888" i="3"/>
  <c r="AI874" i="3"/>
  <c r="AI869" i="3"/>
  <c r="AI837" i="3"/>
  <c r="AI757" i="3"/>
  <c r="AI759" i="3" s="1"/>
  <c r="AM456" i="3"/>
  <c r="AM457" i="3" s="1"/>
  <c r="AM349" i="3"/>
  <c r="AI834" i="3"/>
  <c r="AL511" i="3"/>
  <c r="AM362" i="3"/>
  <c r="AL303" i="3"/>
  <c r="AM252" i="3"/>
  <c r="AI250" i="3"/>
  <c r="AM248" i="3"/>
  <c r="AM208" i="3"/>
  <c r="AM268" i="3"/>
  <c r="AM272" i="3"/>
  <c r="AM228" i="3"/>
  <c r="AL85" i="3"/>
  <c r="AJ332" i="3"/>
  <c r="AI84" i="3"/>
  <c r="AI85" i="3"/>
  <c r="AI1061" i="3"/>
  <c r="AI1060" i="3"/>
  <c r="AI1190" i="3"/>
  <c r="AI903" i="3"/>
  <c r="AI1044" i="3"/>
  <c r="AI951" i="3"/>
  <c r="AI835" i="3"/>
  <c r="AI455" i="3"/>
  <c r="AM251" i="3"/>
  <c r="AM271" i="3"/>
  <c r="AJ141" i="3"/>
  <c r="AM135" i="3" s="1"/>
  <c r="AJ111" i="3"/>
  <c r="AM85" i="3" s="1"/>
  <c r="AI416" i="3"/>
  <c r="AI418" i="3" s="1"/>
  <c r="AI1119" i="3"/>
  <c r="AI1118" i="3"/>
  <c r="AI1117" i="3"/>
  <c r="AI1062" i="3"/>
  <c r="AI908" i="3"/>
  <c r="AI901" i="3"/>
  <c r="AI1121" i="3"/>
  <c r="AI953" i="3"/>
  <c r="AL916" i="3"/>
  <c r="AM218" i="3"/>
  <c r="AI895" i="3"/>
  <c r="AI839" i="3"/>
  <c r="AI762" i="3"/>
  <c r="AI764" i="3" s="1"/>
  <c r="AM253" i="3"/>
  <c r="AI251" i="3"/>
  <c r="AM249" i="3"/>
  <c r="AM222" i="3"/>
  <c r="AM269" i="3"/>
  <c r="AM273" i="3"/>
  <c r="AM209" i="3"/>
  <c r="AM229" i="3"/>
  <c r="AM233" i="3" s="1"/>
  <c r="AI74" i="3"/>
  <c r="AI68" i="3"/>
  <c r="AI66" i="3"/>
  <c r="AI892" i="3"/>
  <c r="AM541" i="3"/>
  <c r="AJ16" i="3"/>
  <c r="AM527" i="3"/>
  <c r="AM555" i="3"/>
  <c r="AM556" i="3"/>
  <c r="AM578" i="3"/>
  <c r="AM554" i="3"/>
  <c r="AM577" i="3"/>
  <c r="AM107" i="3"/>
  <c r="AM75" i="3"/>
  <c r="AM45" i="3"/>
  <c r="AM60" i="3"/>
  <c r="AM90" i="3"/>
  <c r="AM89" i="3"/>
  <c r="AM47" i="3"/>
  <c r="AJ1359" i="3"/>
  <c r="AI1327" i="3"/>
  <c r="AK1328" i="3"/>
  <c r="AL1324" i="3" s="1"/>
  <c r="AK1170" i="3"/>
  <c r="AL1163" i="3" s="1"/>
  <c r="AI1169" i="3"/>
  <c r="AI1167" i="3"/>
  <c r="AI1168" i="3"/>
  <c r="AI1166" i="3"/>
  <c r="AI985" i="3"/>
  <c r="AI981" i="3"/>
  <c r="AL910" i="3"/>
  <c r="AL909" i="3"/>
  <c r="AK1055" i="3"/>
  <c r="AL1054" i="3" s="1"/>
  <c r="AK1049" i="3"/>
  <c r="AL1046" i="3" s="1"/>
  <c r="AI1002" i="3"/>
  <c r="AI984" i="3"/>
  <c r="AI973" i="3"/>
  <c r="AI972" i="3"/>
  <c r="AI968" i="3"/>
  <c r="AK955" i="3"/>
  <c r="AL952" i="3" s="1"/>
  <c r="AI961" i="3"/>
  <c r="AI960" i="3"/>
  <c r="AI959" i="3"/>
  <c r="AK944" i="3"/>
  <c r="AL938" i="3" s="1"/>
  <c r="AI922" i="3"/>
  <c r="AL918" i="3"/>
  <c r="AI919" i="3"/>
  <c r="AL911" i="3"/>
  <c r="AK879" i="3"/>
  <c r="AL873" i="3" s="1"/>
  <c r="AI852" i="3"/>
  <c r="AK840" i="3"/>
  <c r="AL839" i="3" s="1"/>
  <c r="AJ1101" i="3"/>
  <c r="AK759" i="3"/>
  <c r="AL758" i="3" s="1"/>
  <c r="AK691" i="3"/>
  <c r="AL689" i="3" s="1"/>
  <c r="AI577" i="3"/>
  <c r="AI421" i="3"/>
  <c r="AI423" i="3" s="1"/>
  <c r="AK964" i="3"/>
  <c r="AI872" i="3"/>
  <c r="AL870" i="3"/>
  <c r="AK848" i="3"/>
  <c r="AL847" i="3" s="1"/>
  <c r="AK764" i="3"/>
  <c r="AL763" i="3" s="1"/>
  <c r="AK754" i="3"/>
  <c r="AL752" i="3" s="1"/>
  <c r="AJ766" i="3"/>
  <c r="AI753" i="3"/>
  <c r="AI578" i="3"/>
  <c r="AL510" i="3"/>
  <c r="AI513" i="3"/>
  <c r="AK457" i="3"/>
  <c r="AM461" i="3"/>
  <c r="AM460" i="3"/>
  <c r="AJ13" i="3"/>
  <c r="AK374" i="3"/>
  <c r="AN341" i="3" s="1"/>
  <c r="AK322" i="3"/>
  <c r="AL320" i="3" s="1"/>
  <c r="AM652" i="3"/>
  <c r="AM651" i="3"/>
  <c r="AM645" i="3"/>
  <c r="AM644" i="3"/>
  <c r="AM643" i="3"/>
  <c r="AM642" i="3"/>
  <c r="AM641" i="3"/>
  <c r="AM639" i="3"/>
  <c r="AM637" i="3"/>
  <c r="AM635" i="3"/>
  <c r="AM630" i="3"/>
  <c r="AM628" i="3"/>
  <c r="AM626" i="3"/>
  <c r="AM624" i="3"/>
  <c r="AM622" i="3"/>
  <c r="AM620" i="3"/>
  <c r="AM694" i="3"/>
  <c r="AM688" i="3"/>
  <c r="AM687" i="3"/>
  <c r="AM682" i="3"/>
  <c r="AM681" i="3"/>
  <c r="AM680" i="3"/>
  <c r="AM679" i="3"/>
  <c r="AM678" i="3"/>
  <c r="AM677" i="3"/>
  <c r="AM671" i="3"/>
  <c r="AM670" i="3"/>
  <c r="AM665" i="3"/>
  <c r="AM664" i="3"/>
  <c r="AM657" i="3"/>
  <c r="AM646" i="3"/>
  <c r="AM640" i="3"/>
  <c r="AM638" i="3"/>
  <c r="AM636" i="3"/>
  <c r="AM629" i="3"/>
  <c r="AM627" i="3"/>
  <c r="AM625" i="3"/>
  <c r="AM623" i="3"/>
  <c r="AM621" i="3"/>
  <c r="AM619" i="3"/>
  <c r="AM612" i="3"/>
  <c r="AM610" i="3"/>
  <c r="AM608" i="3"/>
  <c r="AM606" i="3"/>
  <c r="AM604" i="3"/>
  <c r="AM602" i="3"/>
  <c r="AM600" i="3"/>
  <c r="AM598" i="3"/>
  <c r="AM596" i="3"/>
  <c r="AM611" i="3"/>
  <c r="AM609" i="3"/>
  <c r="AM607" i="3"/>
  <c r="AM605" i="3"/>
  <c r="AM603" i="3"/>
  <c r="AM601" i="3"/>
  <c r="AM599" i="3"/>
  <c r="AM597" i="3"/>
  <c r="AM595" i="3"/>
  <c r="AJ17" i="3"/>
  <c r="AJ180" i="3"/>
  <c r="AI156" i="3"/>
  <c r="AI158" i="3"/>
  <c r="AI154" i="3"/>
  <c r="AK131" i="3"/>
  <c r="AL129" i="3" s="1"/>
  <c r="AK124" i="3"/>
  <c r="AL122" i="3" s="1"/>
  <c r="AK103" i="3"/>
  <c r="AL101" i="3" s="1"/>
  <c r="AL83" i="3"/>
  <c r="AI233" i="3"/>
  <c r="AI155" i="3"/>
  <c r="AK69" i="3"/>
  <c r="AL68" i="3" s="1"/>
  <c r="AK63" i="3"/>
  <c r="AL62" i="3" s="1"/>
  <c r="AK51" i="3"/>
  <c r="AL48" i="3" s="1"/>
  <c r="Q20" i="3"/>
  <c r="Q16" i="3"/>
  <c r="Q12" i="3"/>
  <c r="Q7" i="3"/>
  <c r="Q8" i="3"/>
  <c r="Q11" i="3"/>
  <c r="Q15" i="3"/>
  <c r="Q19" i="3"/>
  <c r="AL1325" i="3"/>
  <c r="AI1326" i="3"/>
  <c r="AI1324" i="3"/>
  <c r="AK1202" i="3"/>
  <c r="AL1197" i="3" s="1"/>
  <c r="AI1201" i="3"/>
  <c r="AI1199" i="3"/>
  <c r="AI1200" i="3"/>
  <c r="AI1195" i="3"/>
  <c r="AK1178" i="3"/>
  <c r="AL1165" i="3"/>
  <c r="AI1163" i="3"/>
  <c r="AI1164" i="3"/>
  <c r="AL1043" i="3"/>
  <c r="AI983" i="3"/>
  <c r="AL908" i="3"/>
  <c r="AK904" i="3"/>
  <c r="AL903" i="3" s="1"/>
  <c r="AI1198" i="3"/>
  <c r="AJ1226" i="3"/>
  <c r="AL1044" i="3"/>
  <c r="AI1042" i="3"/>
  <c r="AI1049" i="3" s="1"/>
  <c r="AI986" i="3"/>
  <c r="AI970" i="3"/>
  <c r="AL907" i="3"/>
  <c r="AI910" i="3"/>
  <c r="AI909" i="3"/>
  <c r="AI906" i="3"/>
  <c r="AK898" i="3"/>
  <c r="AL896" i="3" s="1"/>
  <c r="AL871" i="3"/>
  <c r="AK784" i="3"/>
  <c r="AL782" i="3" s="1"/>
  <c r="AI783" i="3"/>
  <c r="AI784" i="3" s="1"/>
  <c r="AI816" i="3" s="1"/>
  <c r="AI19" i="3" s="1"/>
  <c r="AJ816" i="3"/>
  <c r="AK585" i="3"/>
  <c r="AL577" i="3" s="1"/>
  <c r="AK557" i="3"/>
  <c r="AL554" i="3"/>
  <c r="AI885" i="3"/>
  <c r="AI889" i="3" s="1"/>
  <c r="AI887" i="3"/>
  <c r="AL872" i="3"/>
  <c r="AI870" i="3"/>
  <c r="AI754" i="3"/>
  <c r="AK659" i="3"/>
  <c r="AJ442" i="3"/>
  <c r="S391" i="3"/>
  <c r="S390" i="3"/>
  <c r="S389" i="3"/>
  <c r="S388" i="3"/>
  <c r="AJ11" i="3"/>
  <c r="AM341" i="3"/>
  <c r="AJ10" i="3"/>
  <c r="AI322" i="3"/>
  <c r="AK254" i="3"/>
  <c r="AK276" i="3" s="1"/>
  <c r="AN250" i="3" s="1"/>
  <c r="AI209" i="3"/>
  <c r="AI848" i="3"/>
  <c r="AI659" i="3"/>
  <c r="AK159" i="3"/>
  <c r="AI131" i="3"/>
  <c r="AI124" i="3"/>
  <c r="AI103" i="3"/>
  <c r="AI63" i="3"/>
  <c r="AI42" i="3"/>
  <c r="Q18" i="3"/>
  <c r="Q14" i="3"/>
  <c r="Q9" i="3"/>
  <c r="Q5" i="3"/>
  <c r="AK91" i="3"/>
  <c r="AL90" i="3" s="1"/>
  <c r="Q4" i="3"/>
  <c r="Q21" i="3"/>
  <c r="Q22" i="3"/>
  <c r="Q6" i="3"/>
  <c r="Q10" i="3"/>
  <c r="Q13" i="3"/>
  <c r="Q17" i="3"/>
  <c r="AL136" i="3" l="1"/>
  <c r="AL137" i="3"/>
  <c r="AL135" i="3"/>
  <c r="AL54" i="3"/>
  <c r="AL55" i="3"/>
  <c r="AL56" i="3"/>
  <c r="AL315" i="3"/>
  <c r="AL314" i="3"/>
  <c r="AL76" i="3"/>
  <c r="AL75" i="3"/>
  <c r="AL864" i="3"/>
  <c r="AL865" i="3"/>
  <c r="AB207" i="3"/>
  <c r="AC207" i="3"/>
  <c r="AB878" i="3"/>
  <c r="AC878" i="3"/>
  <c r="AK1312" i="3"/>
  <c r="AI1319" i="3"/>
  <c r="AB1024" i="3"/>
  <c r="AC1024" i="3"/>
  <c r="AA276" i="3"/>
  <c r="AB973" i="3"/>
  <c r="AC973" i="3"/>
  <c r="AL1263" i="3"/>
  <c r="AA892" i="3"/>
  <c r="Z892" i="3"/>
  <c r="Y892" i="3" s="1"/>
  <c r="O69" i="3"/>
  <c r="T331" i="3"/>
  <c r="M9" i="3" s="1"/>
  <c r="Z630" i="3"/>
  <c r="Y630" i="3" s="1"/>
  <c r="AA630" i="3"/>
  <c r="AA1198" i="3"/>
  <c r="Z1198" i="3"/>
  <c r="Y1198" i="3" s="1"/>
  <c r="Z1287" i="3"/>
  <c r="Y1287" i="3" s="1"/>
  <c r="AA1287" i="3"/>
  <c r="AA252" i="3"/>
  <c r="Z252" i="3"/>
  <c r="Y252" i="3" s="1"/>
  <c r="AA1211" i="3"/>
  <c r="Z1211" i="3"/>
  <c r="Y1211" i="3" s="1"/>
  <c r="AK1302" i="3"/>
  <c r="AI1309" i="3"/>
  <c r="AI1338" i="3"/>
  <c r="AK1331" i="3"/>
  <c r="AI691" i="3"/>
  <c r="AA234" i="3"/>
  <c r="AC853" i="3"/>
  <c r="AB853" i="3"/>
  <c r="AA902" i="3"/>
  <c r="Z902" i="3"/>
  <c r="Y902" i="3" s="1"/>
  <c r="AB1255" i="3"/>
  <c r="AC1255" i="3"/>
  <c r="G178" i="3"/>
  <c r="K6" i="3" s="1"/>
  <c r="O513" i="3"/>
  <c r="K15" i="3" s="1"/>
  <c r="P15" i="3"/>
  <c r="N15" i="3"/>
  <c r="AK504" i="3"/>
  <c r="AB248" i="3"/>
  <c r="AC248" i="3"/>
  <c r="Z624" i="3"/>
  <c r="Y624" i="3" s="1"/>
  <c r="AA624" i="3"/>
  <c r="AA745" i="3" s="1"/>
  <c r="AC327" i="3"/>
  <c r="AB327" i="3"/>
  <c r="AC782" i="3"/>
  <c r="AC816" i="3" s="1"/>
  <c r="AB782" i="3"/>
  <c r="AB865" i="3"/>
  <c r="AC865" i="3"/>
  <c r="AB986" i="3"/>
  <c r="AC986" i="3"/>
  <c r="AD1100" i="3"/>
  <c r="AD849" i="3"/>
  <c r="AC753" i="3"/>
  <c r="AB753" i="3"/>
  <c r="AB884" i="3"/>
  <c r="AC884" i="3"/>
  <c r="AB1304" i="3"/>
  <c r="AC1304" i="3"/>
  <c r="AA1127" i="3"/>
  <c r="Z1127" i="3"/>
  <c r="Y1127" i="3" s="1"/>
  <c r="AD1257" i="3"/>
  <c r="AI1161" i="3"/>
  <c r="AK1148" i="3"/>
  <c r="P22" i="3"/>
  <c r="S1357" i="3"/>
  <c r="K22" i="3" s="1"/>
  <c r="AB1332" i="3"/>
  <c r="AC1332" i="3"/>
  <c r="AA1335" i="3"/>
  <c r="Z1335" i="3"/>
  <c r="Y1335" i="3" s="1"/>
  <c r="AI462" i="3"/>
  <c r="Z678" i="3"/>
  <c r="Y678" i="3" s="1"/>
  <c r="AA678" i="3"/>
  <c r="AD898" i="3"/>
  <c r="AB988" i="3"/>
  <c r="AC988" i="3"/>
  <c r="AB1273" i="3"/>
  <c r="AC1273" i="3"/>
  <c r="P429" i="3"/>
  <c r="S12" i="3" s="1"/>
  <c r="AA440" i="3"/>
  <c r="O276" i="3"/>
  <c r="P13" i="3"/>
  <c r="AC651" i="3"/>
  <c r="AB651" i="3"/>
  <c r="AB671" i="3"/>
  <c r="AC671" i="3"/>
  <c r="AB705" i="3"/>
  <c r="AC705" i="3"/>
  <c r="Z894" i="3"/>
  <c r="Y894" i="3" s="1"/>
  <c r="AA894" i="3"/>
  <c r="N745" i="3"/>
  <c r="K17" i="3" s="1"/>
  <c r="AB962" i="3"/>
  <c r="AC962" i="3"/>
  <c r="AA635" i="3"/>
  <c r="Z635" i="3"/>
  <c r="Y635" i="3" s="1"/>
  <c r="AA951" i="3"/>
  <c r="Z951" i="3"/>
  <c r="Y951" i="3" s="1"/>
  <c r="AB1177" i="3"/>
  <c r="AC1177" i="3"/>
  <c r="N21" i="3"/>
  <c r="AD1309" i="3"/>
  <c r="AA1327" i="3"/>
  <c r="Z1327" i="3"/>
  <c r="Y1327" i="3" s="1"/>
  <c r="AB128" i="3"/>
  <c r="AC128" i="3"/>
  <c r="P69" i="3"/>
  <c r="K382" i="3"/>
  <c r="AE388" i="3"/>
  <c r="AB1023" i="3"/>
  <c r="AC1023" i="3"/>
  <c r="AA1117" i="3"/>
  <c r="Z1117" i="3"/>
  <c r="Y1117" i="3" s="1"/>
  <c r="AA870" i="3"/>
  <c r="Z870" i="3"/>
  <c r="Y870" i="3" s="1"/>
  <c r="AA1282" i="3"/>
  <c r="Z1282" i="3"/>
  <c r="Y1282" i="3" s="1"/>
  <c r="AD1319" i="3"/>
  <c r="W23" i="3"/>
  <c r="P4" i="3"/>
  <c r="N4" i="3"/>
  <c r="N23" i="3" s="1"/>
  <c r="S109" i="3"/>
  <c r="AK36" i="3"/>
  <c r="AK42" i="3" s="1"/>
  <c r="AL37" i="3" s="1"/>
  <c r="AB172" i="3"/>
  <c r="AC172" i="3"/>
  <c r="AB321" i="3"/>
  <c r="AC321" i="3"/>
  <c r="AB1008" i="3"/>
  <c r="AC1008" i="3"/>
  <c r="AA985" i="3"/>
  <c r="Z985" i="3"/>
  <c r="Y985" i="3" s="1"/>
  <c r="AA1222" i="3"/>
  <c r="Z1222" i="3"/>
  <c r="Y1222" i="3" s="1"/>
  <c r="AB1221" i="3"/>
  <c r="AC1221" i="3"/>
  <c r="AD392" i="3"/>
  <c r="AC230" i="3"/>
  <c r="AB230" i="3"/>
  <c r="Z1168" i="3"/>
  <c r="Y1168" i="3" s="1"/>
  <c r="AA1168" i="3"/>
  <c r="AB981" i="3"/>
  <c r="AC981" i="3"/>
  <c r="AL1189" i="3"/>
  <c r="AL1188" i="3"/>
  <c r="AL1186" i="3"/>
  <c r="AI1257" i="3"/>
  <c r="AB511" i="3"/>
  <c r="AC511" i="3"/>
  <c r="AA1187" i="3"/>
  <c r="Z1187" i="3"/>
  <c r="Y1187" i="3" s="1"/>
  <c r="AB646" i="3"/>
  <c r="AC646" i="3"/>
  <c r="AA1138" i="3"/>
  <c r="Z1138" i="3"/>
  <c r="Y1138" i="3" s="1"/>
  <c r="AA527" i="3"/>
  <c r="Z527" i="3"/>
  <c r="Y527" i="3" s="1"/>
  <c r="T1225" i="3"/>
  <c r="M21" i="3" s="1"/>
  <c r="AK469" i="3"/>
  <c r="AN455" i="3" s="1"/>
  <c r="AL1119" i="3"/>
  <c r="AI1063" i="3"/>
  <c r="AL1115" i="3"/>
  <c r="O103" i="3"/>
  <c r="O109" i="3" s="1"/>
  <c r="AA837" i="3"/>
  <c r="Z837" i="3"/>
  <c r="Y837" i="3" s="1"/>
  <c r="AA941" i="3"/>
  <c r="Z941" i="3"/>
  <c r="Y941" i="3" s="1"/>
  <c r="Z1199" i="3"/>
  <c r="Y1199" i="3" s="1"/>
  <c r="AA1199" i="3"/>
  <c r="AI1277" i="3"/>
  <c r="AK1271" i="3"/>
  <c r="AK1215" i="3"/>
  <c r="AL1208" i="3"/>
  <c r="AL47" i="3"/>
  <c r="AL1166" i="3"/>
  <c r="AI506" i="3"/>
  <c r="AI683" i="3"/>
  <c r="AL1120" i="3"/>
  <c r="AM129" i="3"/>
  <c r="AL932" i="3"/>
  <c r="AM513" i="3"/>
  <c r="AM515" i="3" s="1"/>
  <c r="AL1118" i="3"/>
  <c r="AB46" i="3"/>
  <c r="AC46" i="3"/>
  <c r="AA37" i="3"/>
  <c r="AA110" i="3" s="1"/>
  <c r="Z37" i="3"/>
  <c r="Y37" i="3" s="1"/>
  <c r="Z135" i="3"/>
  <c r="Y135" i="3" s="1"/>
  <c r="AA135" i="3"/>
  <c r="AB426" i="3"/>
  <c r="AC426" i="3"/>
  <c r="Z461" i="3"/>
  <c r="Y461" i="3" s="1"/>
  <c r="AA461" i="3"/>
  <c r="AA469" i="3" s="1"/>
  <c r="AC677" i="3"/>
  <c r="AB677" i="3"/>
  <c r="Z296" i="3"/>
  <c r="Y296" i="3" s="1"/>
  <c r="AA296" i="3"/>
  <c r="AA331" i="3" s="1"/>
  <c r="AB897" i="3"/>
  <c r="AC897" i="3"/>
  <c r="AA1041" i="3"/>
  <c r="Z1041" i="3"/>
  <c r="Y1041" i="3" s="1"/>
  <c r="Z906" i="3"/>
  <c r="Y906" i="3" s="1"/>
  <c r="AA906" i="3"/>
  <c r="AB1195" i="3"/>
  <c r="AC1195" i="3"/>
  <c r="AC762" i="3"/>
  <c r="AB762" i="3"/>
  <c r="AB1022" i="3"/>
  <c r="AC1022" i="3"/>
  <c r="AA1175" i="3"/>
  <c r="Z1175" i="3"/>
  <c r="Y1175" i="3" s="1"/>
  <c r="AA1254" i="3"/>
  <c r="Z1254" i="3"/>
  <c r="Y1254" i="3" s="1"/>
  <c r="AA1186" i="3"/>
  <c r="Z1186" i="3"/>
  <c r="Y1186" i="3" s="1"/>
  <c r="AA1167" i="3"/>
  <c r="Z1167" i="3"/>
  <c r="Y1167" i="3" s="1"/>
  <c r="AK1223" i="3"/>
  <c r="AL1222" i="3" s="1"/>
  <c r="AA1262" i="3"/>
  <c r="Z1262" i="3"/>
  <c r="Y1262" i="3" s="1"/>
  <c r="AL1282" i="3"/>
  <c r="AI1299" i="3"/>
  <c r="AA1243" i="3"/>
  <c r="Z1243" i="3"/>
  <c r="Y1243" i="3" s="1"/>
  <c r="AA1298" i="3"/>
  <c r="Z1298" i="3"/>
  <c r="Y1298" i="3" s="1"/>
  <c r="AC320" i="3"/>
  <c r="AB320" i="3"/>
  <c r="AA175" i="3"/>
  <c r="Z175" i="3"/>
  <c r="Y175" i="3" s="1"/>
  <c r="AB917" i="3"/>
  <c r="AC917" i="3"/>
  <c r="AC681" i="3"/>
  <c r="AB681" i="3"/>
  <c r="AA932" i="3"/>
  <c r="Z932" i="3"/>
  <c r="Y932" i="3" s="1"/>
  <c r="AA1172" i="3"/>
  <c r="Z1172" i="3"/>
  <c r="Y1172" i="3" s="1"/>
  <c r="N20" i="3"/>
  <c r="AB1281" i="3"/>
  <c r="AC1281" i="3"/>
  <c r="AD1328" i="3"/>
  <c r="AB253" i="3"/>
  <c r="AC253" i="3"/>
  <c r="Z114" i="3"/>
  <c r="Y114" i="3" s="1"/>
  <c r="AA114" i="3"/>
  <c r="AA139" i="3" s="1"/>
  <c r="P514" i="3"/>
  <c r="S16" i="3" s="1"/>
  <c r="R275" i="3"/>
  <c r="K8" i="3" s="1"/>
  <c r="AA1131" i="3"/>
  <c r="Z1131" i="3"/>
  <c r="Y1131" i="3" s="1"/>
  <c r="AA896" i="3"/>
  <c r="Z896" i="3"/>
  <c r="Y896" i="3" s="1"/>
  <c r="AD928" i="3"/>
  <c r="AC640" i="3"/>
  <c r="AB640" i="3"/>
  <c r="AD879" i="3"/>
  <c r="AA1012" i="3"/>
  <c r="Z1012" i="3"/>
  <c r="Y1012" i="3" s="1"/>
  <c r="AI647" i="3"/>
  <c r="AI745" i="3" s="1"/>
  <c r="AI17" i="3" s="1"/>
  <c r="AK635" i="3"/>
  <c r="Z843" i="3"/>
  <c r="Y843" i="3" s="1"/>
  <c r="AA843" i="3"/>
  <c r="AA765" i="3"/>
  <c r="AC1046" i="3"/>
  <c r="AB1046" i="3"/>
  <c r="AA971" i="3"/>
  <c r="Z971" i="3"/>
  <c r="Y971" i="3" s="1"/>
  <c r="AA1250" i="3"/>
  <c r="Z1250" i="3"/>
  <c r="Y1250" i="3" s="1"/>
  <c r="AK1357" i="3"/>
  <c r="AL1355" i="3" s="1"/>
  <c r="N22" i="3"/>
  <c r="T22" i="3"/>
  <c r="S1359" i="3"/>
  <c r="M22" i="3" s="1"/>
  <c r="Z1307" i="3"/>
  <c r="Y1307" i="3" s="1"/>
  <c r="AA1307" i="3"/>
  <c r="AC657" i="3"/>
  <c r="AB657" i="3"/>
  <c r="AB927" i="3"/>
  <c r="AC927" i="3"/>
  <c r="AA984" i="3"/>
  <c r="Z984" i="3"/>
  <c r="Y984" i="3" s="1"/>
  <c r="AA1001" i="3"/>
  <c r="Z1001" i="3"/>
  <c r="Y1001" i="3" s="1"/>
  <c r="AI1348" i="3"/>
  <c r="AK1341" i="3"/>
  <c r="T7" i="3"/>
  <c r="T429" i="3"/>
  <c r="AB231" i="3"/>
  <c r="AC231" i="3"/>
  <c r="AC234" i="3" s="1"/>
  <c r="X7" i="3" s="1"/>
  <c r="S463" i="3"/>
  <c r="K13" i="3" s="1"/>
  <c r="AB1128" i="3"/>
  <c r="AC1128" i="3"/>
  <c r="AB600" i="3"/>
  <c r="AC600" i="3"/>
  <c r="AB620" i="3"/>
  <c r="AC620" i="3"/>
  <c r="AC765" i="3"/>
  <c r="X18" i="3" s="1"/>
  <c r="AB1010" i="3"/>
  <c r="AC1010" i="3"/>
  <c r="T586" i="3"/>
  <c r="T16" i="3"/>
  <c r="T23" i="3" s="1"/>
  <c r="P621" i="3"/>
  <c r="AC652" i="3"/>
  <c r="AB652" i="3"/>
  <c r="Z1067" i="3"/>
  <c r="Y1067" i="3" s="1"/>
  <c r="AA1067" i="3"/>
  <c r="N17" i="3"/>
  <c r="AB999" i="3"/>
  <c r="AC999" i="3"/>
  <c r="Z1033" i="3"/>
  <c r="Y1033" i="3" s="1"/>
  <c r="AA1033" i="3"/>
  <c r="P21" i="3"/>
  <c r="AA1302" i="3"/>
  <c r="Z1302" i="3"/>
  <c r="Y1302" i="3" s="1"/>
  <c r="AK1264" i="3"/>
  <c r="AL1260" i="3"/>
  <c r="AA1288" i="3"/>
  <c r="Z1288" i="3"/>
  <c r="Y1288" i="3" s="1"/>
  <c r="T14" i="3"/>
  <c r="AA1151" i="3"/>
  <c r="Z1151" i="3"/>
  <c r="Y1151" i="3" s="1"/>
  <c r="AB1089" i="3"/>
  <c r="AC1089" i="3"/>
  <c r="AA1312" i="3"/>
  <c r="Z1312" i="3"/>
  <c r="Y1312" i="3" s="1"/>
  <c r="R1100" i="3"/>
  <c r="K20" i="3" s="1"/>
  <c r="Z45" i="3"/>
  <c r="Y45" i="3" s="1"/>
  <c r="AA45" i="3"/>
  <c r="P9" i="3"/>
  <c r="N9" i="3"/>
  <c r="AK294" i="3"/>
  <c r="AK299" i="3" s="1"/>
  <c r="R331" i="3"/>
  <c r="K9" i="3" s="1"/>
  <c r="AB1154" i="3"/>
  <c r="AC1154" i="3"/>
  <c r="AB1150" i="3"/>
  <c r="AC1150" i="3"/>
  <c r="AB876" i="3"/>
  <c r="AC876" i="3"/>
  <c r="AC792" i="3"/>
  <c r="AB792" i="3"/>
  <c r="AB816" i="3" s="1"/>
  <c r="Y19" i="3" s="1"/>
  <c r="Z19" i="3" s="1"/>
  <c r="Z933" i="3"/>
  <c r="Y933" i="3" s="1"/>
  <c r="AA933" i="3"/>
  <c r="AA1295" i="3"/>
  <c r="Z1295" i="3"/>
  <c r="Y1295" i="3" s="1"/>
  <c r="AA1315" i="3"/>
  <c r="Z1315" i="3"/>
  <c r="Y1315" i="3" s="1"/>
  <c r="AB626" i="3"/>
  <c r="AC626" i="3"/>
  <c r="M16" i="3"/>
  <c r="K16" i="3"/>
  <c r="AB888" i="3"/>
  <c r="AC888" i="3"/>
  <c r="AL1140" i="3"/>
  <c r="AB136" i="3"/>
  <c r="AC136" i="3"/>
  <c r="AB924" i="3"/>
  <c r="AC924" i="3"/>
  <c r="AB1011" i="3"/>
  <c r="AC1011" i="3"/>
  <c r="AA1246" i="3"/>
  <c r="Z1246" i="3"/>
  <c r="Y1246" i="3" s="1"/>
  <c r="AK1247" i="3"/>
  <c r="AL1240" i="3"/>
  <c r="AK178" i="3"/>
  <c r="AB1040" i="3"/>
  <c r="AC1040" i="3"/>
  <c r="AB409" i="3"/>
  <c r="AC409" i="3"/>
  <c r="AB860" i="3"/>
  <c r="AC860" i="3"/>
  <c r="AA555" i="3"/>
  <c r="Z555" i="3"/>
  <c r="Y555" i="3" s="1"/>
  <c r="AB1042" i="3"/>
  <c r="AC1042" i="3"/>
  <c r="AB1208" i="3"/>
  <c r="AC1208" i="3"/>
  <c r="AD647" i="3"/>
  <c r="S392" i="3"/>
  <c r="K11" i="3" s="1"/>
  <c r="N11" i="3"/>
  <c r="P11" i="3"/>
  <c r="AJ388" i="3"/>
  <c r="AK392" i="3" s="1"/>
  <c r="AK388" i="3" s="1"/>
  <c r="M14" i="3"/>
  <c r="T13" i="3"/>
  <c r="AB724" i="3"/>
  <c r="AC724" i="3"/>
  <c r="U23" i="3"/>
  <c r="AI856" i="3"/>
  <c r="AI1017" i="3"/>
  <c r="AI1134" i="3"/>
  <c r="AL107" i="3"/>
  <c r="AL461" i="3"/>
  <c r="AL1187" i="3"/>
  <c r="S429" i="3"/>
  <c r="K12" i="3" s="1"/>
  <c r="P12" i="3"/>
  <c r="AK409" i="3"/>
  <c r="AK411" i="3" s="1"/>
  <c r="AD469" i="3"/>
  <c r="O330" i="3"/>
  <c r="AK1299" i="3"/>
  <c r="AL1280" i="3"/>
  <c r="AB50" i="3"/>
  <c r="AC50" i="3"/>
  <c r="S139" i="3"/>
  <c r="K5" i="3" s="1"/>
  <c r="P5" i="3"/>
  <c r="N5" i="3"/>
  <c r="AK114" i="3"/>
  <c r="AL49" i="3"/>
  <c r="AL207" i="3"/>
  <c r="AM462" i="3"/>
  <c r="AL1121" i="3"/>
  <c r="AI109" i="3"/>
  <c r="AI330" i="3"/>
  <c r="AI332" i="3" s="1"/>
  <c r="AI9" i="3" s="1"/>
  <c r="K110" i="3"/>
  <c r="O42" i="3"/>
  <c r="K178" i="3" s="1"/>
  <c r="AA179" i="3"/>
  <c r="N14" i="3"/>
  <c r="AK416" i="3"/>
  <c r="AB561" i="3"/>
  <c r="AC561" i="3"/>
  <c r="AA269" i="3"/>
  <c r="Z269" i="3"/>
  <c r="Y269" i="3" s="1"/>
  <c r="AC613" i="3"/>
  <c r="AB1120" i="3"/>
  <c r="AC1120" i="3"/>
  <c r="AB1210" i="3"/>
  <c r="AC1210" i="3"/>
  <c r="AK653" i="3"/>
  <c r="AL652" i="3" s="1"/>
  <c r="AK631" i="3"/>
  <c r="AA1158" i="3"/>
  <c r="Z1158" i="3"/>
  <c r="Y1158" i="3" s="1"/>
  <c r="AB1016" i="3"/>
  <c r="AC1016" i="3"/>
  <c r="AC1137" i="3"/>
  <c r="AB1137" i="3"/>
  <c r="AA1242" i="3"/>
  <c r="Z1242" i="3"/>
  <c r="Y1242" i="3" s="1"/>
  <c r="AB1251" i="3"/>
  <c r="AC1251" i="3"/>
  <c r="AB1318" i="3"/>
  <c r="AC1318" i="3"/>
  <c r="AB115" i="3"/>
  <c r="AC115" i="3"/>
  <c r="AB328" i="3"/>
  <c r="AC328" i="3"/>
  <c r="AB733" i="3"/>
  <c r="AC733" i="3"/>
  <c r="AB390" i="3"/>
  <c r="AB392" i="3" s="1"/>
  <c r="Y11" i="3" s="1"/>
  <c r="Z11" i="3" s="1"/>
  <c r="AC390" i="3"/>
  <c r="AC392" i="3" s="1"/>
  <c r="X11" i="3" s="1"/>
  <c r="AD390" i="3"/>
  <c r="AA1324" i="3"/>
  <c r="Z1324" i="3"/>
  <c r="Y1324" i="3" s="1"/>
  <c r="AB38" i="3"/>
  <c r="AC38" i="3"/>
  <c r="O80" i="3"/>
  <c r="O86" i="3" s="1"/>
  <c r="O91" i="3" s="1"/>
  <c r="P6" i="3"/>
  <c r="T514" i="3"/>
  <c r="M15" i="3" s="1"/>
  <c r="T15" i="3"/>
  <c r="N7" i="3"/>
  <c r="S234" i="3"/>
  <c r="K7" i="3" s="1"/>
  <c r="P7" i="3"/>
  <c r="AK208" i="3"/>
  <c r="AB926" i="3"/>
  <c r="AC926" i="3"/>
  <c r="AB992" i="3"/>
  <c r="AC992" i="3"/>
  <c r="AB504" i="3"/>
  <c r="AB514" i="3" s="1"/>
  <c r="Y15" i="3" s="1"/>
  <c r="Z15" i="3" s="1"/>
  <c r="AC504" i="3"/>
  <c r="AC514" i="3" s="1"/>
  <c r="X15" i="3" s="1"/>
  <c r="AB643" i="3"/>
  <c r="AC643" i="3"/>
  <c r="AA922" i="3"/>
  <c r="Z922" i="3"/>
  <c r="Y922" i="3" s="1"/>
  <c r="AA869" i="3"/>
  <c r="Z869" i="3"/>
  <c r="Y869" i="3" s="1"/>
  <c r="Z943" i="3"/>
  <c r="Y943" i="3" s="1"/>
  <c r="AA943" i="3"/>
  <c r="AB1053" i="3"/>
  <c r="AC1053" i="3"/>
  <c r="Z1176" i="3"/>
  <c r="Y1176" i="3" s="1"/>
  <c r="AA1176" i="3"/>
  <c r="AK1144" i="3"/>
  <c r="G1357" i="3"/>
  <c r="AL1243" i="3"/>
  <c r="AL1356" i="3"/>
  <c r="AI1247" i="3"/>
  <c r="AA1285" i="3"/>
  <c r="Z1285" i="3"/>
  <c r="Y1285" i="3" s="1"/>
  <c r="AA1344" i="3"/>
  <c r="Z1344" i="3"/>
  <c r="Y1344" i="3" s="1"/>
  <c r="Z74" i="3"/>
  <c r="Y74" i="3" s="1"/>
  <c r="AA74" i="3"/>
  <c r="AB270" i="3"/>
  <c r="AC270" i="3"/>
  <c r="AA102" i="3"/>
  <c r="Z102" i="3"/>
  <c r="Y102" i="3" s="1"/>
  <c r="AB410" i="3"/>
  <c r="AC410" i="3"/>
  <c r="AC663" i="3"/>
  <c r="AB663" i="3"/>
  <c r="AB1014" i="3"/>
  <c r="AC1014" i="3"/>
  <c r="AA1214" i="3"/>
  <c r="Z1214" i="3"/>
  <c r="Y1214" i="3" s="1"/>
  <c r="AL1250" i="3"/>
  <c r="AK1257" i="3"/>
  <c r="AL1251" i="3" s="1"/>
  <c r="AA1308" i="3"/>
  <c r="Z1308" i="3"/>
  <c r="Y1308" i="3" s="1"/>
  <c r="P138" i="3"/>
  <c r="S5" i="3" s="1"/>
  <c r="Z54" i="3"/>
  <c r="Y54" i="3" s="1"/>
  <c r="AA54" i="3"/>
  <c r="AB862" i="3"/>
  <c r="AC862" i="3"/>
  <c r="AA416" i="3"/>
  <c r="Z416" i="3"/>
  <c r="Y416" i="3" s="1"/>
  <c r="AA816" i="3"/>
  <c r="AA1274" i="3"/>
  <c r="Z1274" i="3"/>
  <c r="Y1274" i="3" s="1"/>
  <c r="AK613" i="3"/>
  <c r="AC658" i="3"/>
  <c r="AB658" i="3"/>
  <c r="AC813" i="3"/>
  <c r="AB813" i="3"/>
  <c r="AA852" i="3"/>
  <c r="Z852" i="3"/>
  <c r="Y852" i="3" s="1"/>
  <c r="AB1121" i="3"/>
  <c r="AC1121" i="3"/>
  <c r="AA887" i="3"/>
  <c r="Z887" i="3"/>
  <c r="Y887" i="3" s="1"/>
  <c r="Z923" i="3"/>
  <c r="Y923" i="3" s="1"/>
  <c r="AA923" i="3"/>
  <c r="AB1045" i="3"/>
  <c r="AC1045" i="3"/>
  <c r="AB1094" i="3"/>
  <c r="AC1094" i="3"/>
  <c r="S1225" i="3"/>
  <c r="K21" i="3" s="1"/>
  <c r="AI1264" i="3"/>
  <c r="AB228" i="3"/>
  <c r="AC228" i="3"/>
  <c r="AB864" i="3"/>
  <c r="AC864" i="3"/>
  <c r="AA1155" i="3"/>
  <c r="Z1155" i="3"/>
  <c r="Y1155" i="3" s="1"/>
  <c r="AA642" i="3"/>
  <c r="Z642" i="3"/>
  <c r="Y642" i="3" s="1"/>
  <c r="AA1291" i="3"/>
  <c r="Z1291" i="3"/>
  <c r="Y1291" i="3" s="1"/>
  <c r="AK683" i="3"/>
  <c r="AL681" i="3" s="1"/>
  <c r="AM68" i="3"/>
  <c r="AM62" i="3"/>
  <c r="AN251" i="3"/>
  <c r="AI80" i="3"/>
  <c r="AI457" i="3"/>
  <c r="AI469" i="3" s="1"/>
  <c r="AI13" i="3" s="1"/>
  <c r="AI1035" i="3"/>
  <c r="AI1178" i="3"/>
  <c r="AL1164" i="3"/>
  <c r="AM235" i="3"/>
  <c r="AI904" i="3"/>
  <c r="AI898" i="3"/>
  <c r="AM469" i="3"/>
  <c r="AL1196" i="3"/>
  <c r="AL74" i="3"/>
  <c r="AM91" i="3"/>
  <c r="AM254" i="3"/>
  <c r="AL578" i="3"/>
  <c r="AL1195" i="3"/>
  <c r="AM41" i="3"/>
  <c r="AM102" i="3"/>
  <c r="AM76" i="3"/>
  <c r="AM67" i="3"/>
  <c r="AM50" i="3"/>
  <c r="AM40" i="3"/>
  <c r="AM54" i="3"/>
  <c r="AJ4" i="3"/>
  <c r="AM84" i="3"/>
  <c r="AM86" i="3" s="1"/>
  <c r="AL272" i="3"/>
  <c r="AM39" i="3"/>
  <c r="AM101" i="3"/>
  <c r="AM74" i="3"/>
  <c r="AM66" i="3"/>
  <c r="AM48" i="3"/>
  <c r="AM38" i="3"/>
  <c r="AM55" i="3"/>
  <c r="AM83" i="3"/>
  <c r="AM108" i="3"/>
  <c r="AM121" i="3"/>
  <c r="AL270" i="3"/>
  <c r="AI178" i="3"/>
  <c r="AI6" i="3" s="1"/>
  <c r="AI1026" i="3"/>
  <c r="AI141" i="3"/>
  <c r="AI5" i="3" s="1"/>
  <c r="AM673" i="3"/>
  <c r="AM691" i="3"/>
  <c r="AM49" i="3"/>
  <c r="AM37" i="3"/>
  <c r="AM100" i="3"/>
  <c r="AM103" i="3" s="1"/>
  <c r="AM95" i="3"/>
  <c r="AM61" i="3"/>
  <c r="AM63" i="3" s="1"/>
  <c r="AM46" i="3"/>
  <c r="AM51" i="3" s="1"/>
  <c r="AM36" i="3"/>
  <c r="AM56" i="3"/>
  <c r="AM115" i="3"/>
  <c r="AL269" i="3"/>
  <c r="AL1088" i="3"/>
  <c r="AI1122" i="3"/>
  <c r="AL39" i="3"/>
  <c r="AL248" i="3"/>
  <c r="AL253" i="3"/>
  <c r="AI766" i="3"/>
  <c r="AI18" i="3" s="1"/>
  <c r="AL421" i="3"/>
  <c r="AL1031" i="3"/>
  <c r="AL1128" i="3"/>
  <c r="AL1326" i="3"/>
  <c r="AL949" i="3"/>
  <c r="AL1029" i="3"/>
  <c r="AM137" i="3"/>
  <c r="AM128" i="3"/>
  <c r="AJ5" i="3"/>
  <c r="AM136" i="3"/>
  <c r="AI69" i="3"/>
  <c r="AI840" i="3"/>
  <c r="AI86" i="3"/>
  <c r="AL89" i="3"/>
  <c r="AN248" i="3"/>
  <c r="AL853" i="3"/>
  <c r="AL951" i="3"/>
  <c r="AL1002" i="3"/>
  <c r="AL950" i="3"/>
  <c r="AL1032" i="3"/>
  <c r="AM659" i="3"/>
  <c r="AL953" i="3"/>
  <c r="AL1033" i="3"/>
  <c r="AM116" i="3"/>
  <c r="AM123" i="3"/>
  <c r="AM114" i="3"/>
  <c r="AM585" i="3"/>
  <c r="AI955" i="3"/>
  <c r="AI254" i="3"/>
  <c r="AI276" i="3" s="1"/>
  <c r="AI8" i="3" s="1"/>
  <c r="AM374" i="3"/>
  <c r="AL902" i="3"/>
  <c r="AL954" i="3"/>
  <c r="AM130" i="3"/>
  <c r="AM122" i="3"/>
  <c r="AL273" i="3"/>
  <c r="AI57" i="3"/>
  <c r="AI879" i="3"/>
  <c r="AL61" i="3"/>
  <c r="AM274" i="3"/>
  <c r="AM276" i="3" s="1"/>
  <c r="AL883" i="3"/>
  <c r="AK587" i="3"/>
  <c r="AN578" i="3" s="1"/>
  <c r="AL984" i="3"/>
  <c r="AL901" i="3"/>
  <c r="AI1328" i="3"/>
  <c r="AL455" i="3"/>
  <c r="AI442" i="3"/>
  <c r="AI12" i="3" s="1"/>
  <c r="AI928" i="3"/>
  <c r="AM557" i="3"/>
  <c r="AL41" i="3"/>
  <c r="AL36" i="3"/>
  <c r="AL321" i="3"/>
  <c r="AJ9" i="3"/>
  <c r="AM305" i="3"/>
  <c r="AM328" i="3"/>
  <c r="AM294" i="3"/>
  <c r="AM298" i="3"/>
  <c r="AM320" i="3"/>
  <c r="AM315" i="3"/>
  <c r="AM296" i="3"/>
  <c r="AM329" i="3"/>
  <c r="AM304" i="3"/>
  <c r="AM293" i="3"/>
  <c r="AM297" i="3"/>
  <c r="AM303" i="3"/>
  <c r="AM327" i="3"/>
  <c r="AM314" i="3"/>
  <c r="AM316" i="3" s="1"/>
  <c r="AM295" i="3"/>
  <c r="AM321" i="3"/>
  <c r="AI235" i="3"/>
  <c r="AI7" i="3" s="1"/>
  <c r="AL249" i="3"/>
  <c r="AK332" i="3"/>
  <c r="AN293" i="3" s="1"/>
  <c r="AI912" i="3"/>
  <c r="AL922" i="3"/>
  <c r="AL981" i="3"/>
  <c r="AL60" i="3"/>
  <c r="AI159" i="3"/>
  <c r="AI180" i="3" s="1"/>
  <c r="AM666" i="3"/>
  <c r="AM683" i="3"/>
  <c r="AL762" i="3"/>
  <c r="AM109" i="3"/>
  <c r="AL158" i="3"/>
  <c r="AL156" i="3"/>
  <c r="AL154" i="3"/>
  <c r="AL296" i="3"/>
  <c r="AL328" i="3"/>
  <c r="AL329" i="3"/>
  <c r="AI392" i="3"/>
  <c r="AI11" i="3" s="1"/>
  <c r="P10" i="3"/>
  <c r="AM427" i="3"/>
  <c r="AM426" i="3"/>
  <c r="AM417" i="3"/>
  <c r="AM416" i="3"/>
  <c r="AM418" i="3" s="1"/>
  <c r="AJ12" i="3"/>
  <c r="AM422" i="3"/>
  <c r="AM410" i="3"/>
  <c r="AM409" i="3"/>
  <c r="AM411" i="3" s="1"/>
  <c r="AM421" i="3"/>
  <c r="AL657" i="3"/>
  <c r="AN577" i="3"/>
  <c r="AN585" i="3" s="1"/>
  <c r="AL658" i="3"/>
  <c r="AM783" i="3"/>
  <c r="AJ19" i="3"/>
  <c r="AM776" i="3"/>
  <c r="AM798" i="3"/>
  <c r="AM792" i="3"/>
  <c r="AM813" i="3"/>
  <c r="AM787" i="3"/>
  <c r="AM808" i="3"/>
  <c r="AM771" i="3"/>
  <c r="AM782" i="3"/>
  <c r="AM784" i="3" s="1"/>
  <c r="AM803" i="3"/>
  <c r="AL972" i="3"/>
  <c r="AL973" i="3"/>
  <c r="AM1221" i="3"/>
  <c r="AM1213" i="3"/>
  <c r="AM1211" i="3"/>
  <c r="AM1210" i="3"/>
  <c r="AM1208" i="3"/>
  <c r="AM1200" i="3"/>
  <c r="AM1214" i="3"/>
  <c r="AM1212" i="3"/>
  <c r="AM1168" i="3"/>
  <c r="AM1159" i="3"/>
  <c r="AM1156" i="3"/>
  <c r="AM1154" i="3"/>
  <c r="AM1152" i="3"/>
  <c r="AM1150" i="3"/>
  <c r="AM1148" i="3"/>
  <c r="AM1143" i="3"/>
  <c r="AM1141" i="3"/>
  <c r="AM1140" i="3"/>
  <c r="AM1138" i="3"/>
  <c r="AM1132" i="3"/>
  <c r="AM1119" i="3"/>
  <c r="AM1209" i="3"/>
  <c r="AM1201" i="3"/>
  <c r="AM1199" i="3"/>
  <c r="AM1176" i="3"/>
  <c r="AM1157" i="3"/>
  <c r="AM1155" i="3"/>
  <c r="AM1153" i="3"/>
  <c r="AM1151" i="3"/>
  <c r="AM1149" i="3"/>
  <c r="AM1142" i="3"/>
  <c r="AM1120" i="3"/>
  <c r="AM1118" i="3"/>
  <c r="AM1117" i="3"/>
  <c r="AM1116" i="3"/>
  <c r="AM1115" i="3"/>
  <c r="AM1222" i="3"/>
  <c r="AM1188" i="3"/>
  <c r="AM1186" i="3"/>
  <c r="AM1172" i="3"/>
  <c r="AM1160" i="3"/>
  <c r="AM1158" i="3"/>
  <c r="AM1133" i="3"/>
  <c r="AM1131" i="3"/>
  <c r="AM1189" i="3"/>
  <c r="AM1187" i="3"/>
  <c r="AM1169" i="3"/>
  <c r="AM1167" i="3"/>
  <c r="AM1139" i="3"/>
  <c r="AM1137" i="3"/>
  <c r="AM1121" i="3"/>
  <c r="AJ21" i="3"/>
  <c r="AM1130" i="3"/>
  <c r="AM1198" i="3"/>
  <c r="AM1164" i="3"/>
  <c r="AM1173" i="3"/>
  <c r="AM1129" i="3"/>
  <c r="AM1163" i="3"/>
  <c r="AM1177" i="3"/>
  <c r="AM1128" i="3"/>
  <c r="AM1196" i="3"/>
  <c r="AM1166" i="3"/>
  <c r="AM1175" i="3"/>
  <c r="AM1127" i="3"/>
  <c r="AM1165" i="3"/>
  <c r="AM1174" i="3"/>
  <c r="AM1181" i="3"/>
  <c r="AM1195" i="3"/>
  <c r="AM1197" i="3"/>
  <c r="AL1133" i="3"/>
  <c r="AL1131" i="3"/>
  <c r="AL1132" i="3"/>
  <c r="AL1176" i="3"/>
  <c r="AL1172" i="3"/>
  <c r="AK111" i="3"/>
  <c r="AL38" i="3"/>
  <c r="AL45" i="3"/>
  <c r="AL46" i="3"/>
  <c r="AL50" i="3"/>
  <c r="AL66" i="3"/>
  <c r="AL67" i="3"/>
  <c r="AL102" i="3"/>
  <c r="AL123" i="3"/>
  <c r="AL130" i="3"/>
  <c r="AM177" i="3"/>
  <c r="AM176" i="3"/>
  <c r="AM175" i="3"/>
  <c r="AM174" i="3"/>
  <c r="AM173" i="3"/>
  <c r="AM172" i="3"/>
  <c r="AM158" i="3"/>
  <c r="AM154" i="3"/>
  <c r="AM156" i="3"/>
  <c r="AJ6" i="3"/>
  <c r="AM157" i="3"/>
  <c r="AM155" i="3"/>
  <c r="AM153" i="3"/>
  <c r="AL157" i="3"/>
  <c r="AM613" i="3"/>
  <c r="AM631" i="3"/>
  <c r="AM647" i="3"/>
  <c r="AM653" i="3"/>
  <c r="AL252" i="3"/>
  <c r="AL297" i="3"/>
  <c r="AN320" i="3"/>
  <c r="AN349" i="3"/>
  <c r="AK10" i="3"/>
  <c r="AN370" i="3"/>
  <c r="AN362" i="3"/>
  <c r="AK13" i="3"/>
  <c r="AN460" i="3"/>
  <c r="AN461" i="3"/>
  <c r="AI515" i="3"/>
  <c r="AI15" i="3" s="1"/>
  <c r="AL555" i="3"/>
  <c r="AM763" i="3"/>
  <c r="AM753" i="3"/>
  <c r="AM758" i="3"/>
  <c r="AJ18" i="3"/>
  <c r="AM752" i="3"/>
  <c r="AM762" i="3"/>
  <c r="AM757" i="3"/>
  <c r="AM759" i="3" s="1"/>
  <c r="AL886" i="3"/>
  <c r="AL410" i="3"/>
  <c r="AN456" i="3"/>
  <c r="AN457" i="3" s="1"/>
  <c r="AL556" i="3"/>
  <c r="AI585" i="3"/>
  <c r="AI587" i="3" s="1"/>
  <c r="AI16" i="3" s="1"/>
  <c r="AL757" i="3"/>
  <c r="AK1101" i="3"/>
  <c r="AL834" i="3"/>
  <c r="AL835" i="3"/>
  <c r="AL836" i="3"/>
  <c r="AL838" i="3"/>
  <c r="AL860" i="3"/>
  <c r="AL862" i="3"/>
  <c r="AL863" i="3"/>
  <c r="AL861" i="3"/>
  <c r="AL874" i="3"/>
  <c r="AL924" i="3"/>
  <c r="AI964" i="3"/>
  <c r="AI974" i="3"/>
  <c r="AL970" i="3"/>
  <c r="AL982" i="3"/>
  <c r="AL1004" i="3"/>
  <c r="AL1022" i="3"/>
  <c r="AL1042" i="3"/>
  <c r="AL1053" i="3"/>
  <c r="AL983" i="3"/>
  <c r="AM124" i="3"/>
  <c r="AL155" i="3"/>
  <c r="AL153" i="3"/>
  <c r="AK8" i="3"/>
  <c r="AN269" i="3"/>
  <c r="AN270" i="3"/>
  <c r="AN271" i="3"/>
  <c r="AN272" i="3"/>
  <c r="AN273" i="3"/>
  <c r="AN268" i="3"/>
  <c r="AN249" i="3"/>
  <c r="AL251" i="3"/>
  <c r="AN253" i="3"/>
  <c r="AL293" i="3"/>
  <c r="AL294" i="3"/>
  <c r="AL298" i="3"/>
  <c r="AN327" i="3"/>
  <c r="AL887" i="3"/>
  <c r="AL885" i="3"/>
  <c r="AL1061" i="3"/>
  <c r="AL1059" i="3"/>
  <c r="AL1060" i="3"/>
  <c r="AK816" i="3"/>
  <c r="AL783" i="3"/>
  <c r="AL884" i="3"/>
  <c r="AL892" i="3"/>
  <c r="AL895" i="3"/>
  <c r="AL893" i="3"/>
  <c r="AL897" i="3"/>
  <c r="AL927" i="3"/>
  <c r="AL968" i="3"/>
  <c r="AL1024" i="3"/>
  <c r="AL923" i="3"/>
  <c r="AL969" i="3"/>
  <c r="AL985" i="3"/>
  <c r="AL1003" i="3"/>
  <c r="AL1021" i="3"/>
  <c r="AL1025" i="3"/>
  <c r="AL1175" i="3"/>
  <c r="AI1170" i="3"/>
  <c r="AL1174" i="3"/>
  <c r="AI1202" i="3"/>
  <c r="AL1201" i="3"/>
  <c r="AL1199" i="3"/>
  <c r="AL1200" i="3"/>
  <c r="AL40" i="3"/>
  <c r="AL100" i="3"/>
  <c r="AL121" i="3"/>
  <c r="AL128" i="3"/>
  <c r="AL250" i="3"/>
  <c r="AN252" i="3"/>
  <c r="AL295" i="3"/>
  <c r="AK11" i="3"/>
  <c r="AK389" i="3"/>
  <c r="AK390" i="3"/>
  <c r="AK391" i="3"/>
  <c r="AK766" i="3"/>
  <c r="AL753" i="3"/>
  <c r="AL843" i="3"/>
  <c r="AL844" i="3"/>
  <c r="AL846" i="3"/>
  <c r="AL959" i="3"/>
  <c r="AL960" i="3"/>
  <c r="AL961" i="3"/>
  <c r="AL456" i="3"/>
  <c r="AL687" i="3"/>
  <c r="AL688" i="3"/>
  <c r="AM1089" i="3"/>
  <c r="AM1084" i="3"/>
  <c r="AM1079" i="3"/>
  <c r="AM1074" i="3"/>
  <c r="AM1067" i="3"/>
  <c r="AM1054" i="3"/>
  <c r="AM1046" i="3"/>
  <c r="AM1020" i="3"/>
  <c r="AM943" i="3"/>
  <c r="AM942" i="3"/>
  <c r="AM941" i="3"/>
  <c r="AM940" i="3"/>
  <c r="AM939" i="3"/>
  <c r="AM933" i="3"/>
  <c r="AM932" i="3"/>
  <c r="AM918" i="3"/>
  <c r="AM917" i="3"/>
  <c r="AM916" i="3"/>
  <c r="AM895" i="3"/>
  <c r="AM1088" i="3"/>
  <c r="AM1060" i="3"/>
  <c r="AM1059" i="3"/>
  <c r="AM973" i="3"/>
  <c r="AM972" i="3"/>
  <c r="AM961" i="3"/>
  <c r="AM960" i="3"/>
  <c r="AM959" i="3"/>
  <c r="AM926" i="3"/>
  <c r="AM910" i="3"/>
  <c r="AM909" i="3"/>
  <c r="AM906" i="3"/>
  <c r="AM897" i="3"/>
  <c r="AM887" i="3"/>
  <c r="AM873" i="3"/>
  <c r="AM863" i="3"/>
  <c r="AM862" i="3"/>
  <c r="AM861" i="3"/>
  <c r="AM860" i="3"/>
  <c r="AM844" i="3"/>
  <c r="AM843" i="3"/>
  <c r="AM836" i="3"/>
  <c r="AM835" i="3"/>
  <c r="AM834" i="3"/>
  <c r="AM892" i="3"/>
  <c r="AM885" i="3"/>
  <c r="AM838" i="3"/>
  <c r="AJ20" i="3"/>
  <c r="AM839" i="3"/>
  <c r="AM846" i="3"/>
  <c r="AM870" i="3"/>
  <c r="AM886" i="3"/>
  <c r="AM837" i="3"/>
  <c r="AM845" i="3"/>
  <c r="AM864" i="3"/>
  <c r="AM869" i="3"/>
  <c r="AM874" i="3"/>
  <c r="AM888" i="3"/>
  <c r="AM894" i="3"/>
  <c r="AM911" i="3"/>
  <c r="AM924" i="3"/>
  <c r="AM938" i="3"/>
  <c r="AM949" i="3"/>
  <c r="AM953" i="3"/>
  <c r="AM962" i="3"/>
  <c r="AM970" i="3"/>
  <c r="AM982" i="3"/>
  <c r="AM986" i="3"/>
  <c r="AM1004" i="3"/>
  <c r="AM1022" i="3"/>
  <c r="AM1029" i="3"/>
  <c r="AM1033" i="3"/>
  <c r="AM1042" i="3"/>
  <c r="AM1053" i="3"/>
  <c r="AM903" i="3"/>
  <c r="AM925" i="3"/>
  <c r="AM952" i="3"/>
  <c r="AM963" i="3"/>
  <c r="AM971" i="3"/>
  <c r="AM983" i="3"/>
  <c r="AM1005" i="3"/>
  <c r="AM1023" i="3"/>
  <c r="AM1030" i="3"/>
  <c r="AM1034" i="3"/>
  <c r="AM1047" i="3"/>
  <c r="AM1062" i="3"/>
  <c r="AM1098" i="3"/>
  <c r="AM853" i="3"/>
  <c r="AM865" i="3"/>
  <c r="AM872" i="3"/>
  <c r="AM883" i="3"/>
  <c r="AM847" i="3"/>
  <c r="AM852" i="3"/>
  <c r="AM871" i="3"/>
  <c r="AM884" i="3"/>
  <c r="AM893" i="3"/>
  <c r="AM902" i="3"/>
  <c r="AM907" i="3"/>
  <c r="AM922" i="3"/>
  <c r="AM927" i="3"/>
  <c r="AM951" i="3"/>
  <c r="AM968" i="3"/>
  <c r="AM984" i="3"/>
  <c r="AM1002" i="3"/>
  <c r="AM1024" i="3"/>
  <c r="AM1031" i="3"/>
  <c r="AM1044" i="3"/>
  <c r="AM896" i="3"/>
  <c r="AM901" i="3"/>
  <c r="AM908" i="3"/>
  <c r="AM923" i="3"/>
  <c r="AM950" i="3"/>
  <c r="AM954" i="3"/>
  <c r="AM969" i="3"/>
  <c r="AM981" i="3"/>
  <c r="AM985" i="3"/>
  <c r="AM1003" i="3"/>
  <c r="AM1021" i="3"/>
  <c r="AM1025" i="3"/>
  <c r="AM1032" i="3"/>
  <c r="AM1043" i="3"/>
  <c r="AM1061" i="3"/>
  <c r="AL845" i="3"/>
  <c r="AL869" i="3"/>
  <c r="AL894" i="3"/>
  <c r="AL940" i="3"/>
  <c r="AL942" i="3"/>
  <c r="AL943" i="3"/>
  <c r="AL939" i="3"/>
  <c r="AL941" i="3"/>
  <c r="AL962" i="3"/>
  <c r="AL1130" i="3"/>
  <c r="AL1198" i="3"/>
  <c r="AL925" i="3"/>
  <c r="AL963" i="3"/>
  <c r="AL971" i="3"/>
  <c r="AI996" i="3"/>
  <c r="AL1023" i="3"/>
  <c r="AL1030" i="3"/>
  <c r="AL1047" i="3"/>
  <c r="AL1173" i="3"/>
  <c r="AL1129" i="3"/>
  <c r="AL1169" i="3"/>
  <c r="AL1167" i="3"/>
  <c r="AL1168" i="3"/>
  <c r="AL1177" i="3"/>
  <c r="AL1327" i="3"/>
  <c r="AM1355" i="3"/>
  <c r="AM1346" i="3"/>
  <c r="AM1344" i="3"/>
  <c r="AM1342" i="3"/>
  <c r="AM1337" i="3"/>
  <c r="AM1335" i="3"/>
  <c r="AM1333" i="3"/>
  <c r="AM1332" i="3"/>
  <c r="AM1317" i="3"/>
  <c r="AM1315" i="3"/>
  <c r="AM1312" i="3"/>
  <c r="AM1308" i="3"/>
  <c r="AM1306" i="3"/>
  <c r="AM1304" i="3"/>
  <c r="AM1303" i="3"/>
  <c r="AM1298" i="3"/>
  <c r="AM1296" i="3"/>
  <c r="AM1295" i="3"/>
  <c r="AM1293" i="3"/>
  <c r="AM1291" i="3"/>
  <c r="AM1288" i="3"/>
  <c r="AM1286" i="3"/>
  <c r="AM1283" i="3"/>
  <c r="AM1280" i="3"/>
  <c r="AM1276" i="3"/>
  <c r="AM1274" i="3"/>
  <c r="AM1272" i="3"/>
  <c r="AM1262" i="3"/>
  <c r="AM1260" i="3"/>
  <c r="AM1347" i="3"/>
  <c r="AM1345" i="3"/>
  <c r="AM1343" i="3"/>
  <c r="AM1341" i="3"/>
  <c r="AM1331" i="3"/>
  <c r="AM1327" i="3"/>
  <c r="AM1318" i="3"/>
  <c r="AM1316" i="3"/>
  <c r="AM1314" i="3"/>
  <c r="AM1302" i="3"/>
  <c r="AM1294" i="3"/>
  <c r="AM1292" i="3"/>
  <c r="AM1290" i="3"/>
  <c r="AM1284" i="3"/>
  <c r="AM1282" i="3"/>
  <c r="AM1256" i="3"/>
  <c r="AM1254" i="3"/>
  <c r="AM1252" i="3"/>
  <c r="AM1250" i="3"/>
  <c r="AM1246" i="3"/>
  <c r="AM1244" i="3"/>
  <c r="AM1242" i="3"/>
  <c r="AM1240" i="3"/>
  <c r="AM1356" i="3"/>
  <c r="AM1307" i="3"/>
  <c r="AM1305" i="3"/>
  <c r="AM1281" i="3"/>
  <c r="AM1263" i="3"/>
  <c r="AM1261" i="3"/>
  <c r="AM1313" i="3"/>
  <c r="AM1245" i="3"/>
  <c r="AM1243" i="3"/>
  <c r="AM1241" i="3"/>
  <c r="AM1336" i="3"/>
  <c r="AM1334" i="3"/>
  <c r="AM1297" i="3"/>
  <c r="AM1289" i="3"/>
  <c r="AM1287" i="3"/>
  <c r="AM1285" i="3"/>
  <c r="AM1275" i="3"/>
  <c r="AM1273" i="3"/>
  <c r="AM1271" i="3"/>
  <c r="AM1255" i="3"/>
  <c r="AM1253" i="3"/>
  <c r="AM1251" i="3"/>
  <c r="AJ22" i="3"/>
  <c r="AM1324" i="3"/>
  <c r="AM1326" i="3"/>
  <c r="AM1325" i="3"/>
  <c r="AM69" i="3"/>
  <c r="AM138" i="3"/>
  <c r="AB922" i="3" l="1"/>
  <c r="AC922" i="3"/>
  <c r="AB555" i="3"/>
  <c r="AC555" i="3"/>
  <c r="AL173" i="3"/>
  <c r="AL176" i="3"/>
  <c r="AL172" i="3"/>
  <c r="AL174" i="3"/>
  <c r="AL177" i="3"/>
  <c r="AB1151" i="3"/>
  <c r="AC1151" i="3"/>
  <c r="AB984" i="3"/>
  <c r="AC984" i="3"/>
  <c r="AB1198" i="3"/>
  <c r="AC1198" i="3"/>
  <c r="P23" i="3"/>
  <c r="AB1155" i="3"/>
  <c r="AC1155" i="3"/>
  <c r="AC852" i="3"/>
  <c r="AB852" i="3"/>
  <c r="AB416" i="3"/>
  <c r="AC416" i="3"/>
  <c r="AC1214" i="3"/>
  <c r="AB1214" i="3"/>
  <c r="AB1285" i="3"/>
  <c r="AC1285" i="3"/>
  <c r="AB1176" i="3"/>
  <c r="AC1176" i="3"/>
  <c r="AB1324" i="3"/>
  <c r="AC1324" i="3"/>
  <c r="AB440" i="3"/>
  <c r="Y12" i="3" s="1"/>
  <c r="Z12" i="3" s="1"/>
  <c r="AB1295" i="3"/>
  <c r="AC1295" i="3"/>
  <c r="AB1033" i="3"/>
  <c r="AC1033" i="3"/>
  <c r="AC1250" i="3"/>
  <c r="AB1250" i="3"/>
  <c r="AA1100" i="3"/>
  <c r="AB1012" i="3"/>
  <c r="AC1012" i="3"/>
  <c r="AB1131" i="3"/>
  <c r="AC1131" i="3"/>
  <c r="AB932" i="3"/>
  <c r="AC932" i="3"/>
  <c r="AB1243" i="3"/>
  <c r="AC1243" i="3"/>
  <c r="AC1262" i="3"/>
  <c r="AB1262" i="3"/>
  <c r="AB1167" i="3"/>
  <c r="AC1167" i="3"/>
  <c r="AC1254" i="3"/>
  <c r="AB1254" i="3"/>
  <c r="AB1041" i="3"/>
  <c r="AC1041" i="3"/>
  <c r="AL1210" i="3"/>
  <c r="AL1213" i="3"/>
  <c r="AL1209" i="3"/>
  <c r="AL1212" i="3"/>
  <c r="AL1211" i="3"/>
  <c r="AL1214" i="3"/>
  <c r="AB1199" i="3"/>
  <c r="AC1199" i="3"/>
  <c r="AA586" i="3"/>
  <c r="AB1168" i="3"/>
  <c r="AC1168" i="3"/>
  <c r="AB1127" i="3"/>
  <c r="AC1127" i="3"/>
  <c r="AB624" i="3"/>
  <c r="AC624" i="3"/>
  <c r="AK1309" i="3"/>
  <c r="AL1255" i="3"/>
  <c r="AB234" i="3"/>
  <c r="Y7" i="3" s="1"/>
  <c r="Z7" i="3" s="1"/>
  <c r="AB923" i="3"/>
  <c r="AC923" i="3"/>
  <c r="AA1359" i="3"/>
  <c r="AL620" i="3"/>
  <c r="AL630" i="3"/>
  <c r="AL629" i="3"/>
  <c r="AL625" i="3"/>
  <c r="AL624" i="3"/>
  <c r="AL623" i="3"/>
  <c r="AL626" i="3"/>
  <c r="AL627" i="3"/>
  <c r="AL621" i="3"/>
  <c r="AC440" i="3"/>
  <c r="X12" i="3" s="1"/>
  <c r="AL628" i="3"/>
  <c r="AB906" i="3"/>
  <c r="AC906" i="3"/>
  <c r="AC683" i="3"/>
  <c r="AC837" i="3"/>
  <c r="AB837" i="3"/>
  <c r="AB527" i="3"/>
  <c r="AB586" i="3" s="1"/>
  <c r="Y16" i="3" s="1"/>
  <c r="Z16" i="3" s="1"/>
  <c r="AC527" i="3"/>
  <c r="AC586" i="3" s="1"/>
  <c r="X16" i="3" s="1"/>
  <c r="AC1222" i="3"/>
  <c r="AB1222" i="3"/>
  <c r="AC179" i="3"/>
  <c r="X6" i="3" s="1"/>
  <c r="AB870" i="3"/>
  <c r="AC870" i="3"/>
  <c r="AB635" i="3"/>
  <c r="AC635" i="3"/>
  <c r="AB678" i="3"/>
  <c r="AB745" i="3" s="1"/>
  <c r="Y17" i="3" s="1"/>
  <c r="Z17" i="3" s="1"/>
  <c r="AC678" i="3"/>
  <c r="AK506" i="3"/>
  <c r="AL504" i="3"/>
  <c r="AB252" i="3"/>
  <c r="AB276" i="3" s="1"/>
  <c r="AC252" i="3"/>
  <c r="AB630" i="3"/>
  <c r="AC630" i="3"/>
  <c r="AL1312" i="3"/>
  <c r="AK1319" i="3"/>
  <c r="AL175" i="3"/>
  <c r="AN298" i="3"/>
  <c r="AB1291" i="3"/>
  <c r="AC1291" i="3"/>
  <c r="AC887" i="3"/>
  <c r="AB887" i="3"/>
  <c r="AB1274" i="3"/>
  <c r="AC1274" i="3"/>
  <c r="AB1308" i="3"/>
  <c r="AC1308" i="3"/>
  <c r="AB102" i="3"/>
  <c r="AC102" i="3"/>
  <c r="AB943" i="3"/>
  <c r="AC943" i="3"/>
  <c r="AB1158" i="3"/>
  <c r="AC1158" i="3"/>
  <c r="AK117" i="3"/>
  <c r="AL1287" i="3"/>
  <c r="AL1297" i="3"/>
  <c r="AL1291" i="3"/>
  <c r="AL1288" i="3"/>
  <c r="AL1294" i="3"/>
  <c r="AL1295" i="3"/>
  <c r="AL1285" i="3"/>
  <c r="AL1293" i="3"/>
  <c r="AL1290" i="3"/>
  <c r="AL1298" i="3"/>
  <c r="AL1289" i="3"/>
  <c r="AL1281" i="3"/>
  <c r="AL1283" i="3"/>
  <c r="AL1296" i="3"/>
  <c r="AL1284" i="3"/>
  <c r="AL1286" i="3"/>
  <c r="AL409" i="3"/>
  <c r="AN296" i="3"/>
  <c r="AN295" i="3"/>
  <c r="AK180" i="3"/>
  <c r="AK6" i="3" s="1"/>
  <c r="AM131" i="3"/>
  <c r="AB54" i="3"/>
  <c r="AC54" i="3"/>
  <c r="AB74" i="3"/>
  <c r="AC74" i="3"/>
  <c r="AB869" i="3"/>
  <c r="AC869" i="3"/>
  <c r="AL208" i="3"/>
  <c r="AK209" i="3"/>
  <c r="AK235" i="3" s="1"/>
  <c r="AL651" i="3"/>
  <c r="AB269" i="3"/>
  <c r="AC269" i="3"/>
  <c r="AC276" i="3" s="1"/>
  <c r="AK418" i="3"/>
  <c r="AL417" i="3" s="1"/>
  <c r="AL416" i="3"/>
  <c r="AL1292" i="3"/>
  <c r="AL1241" i="3"/>
  <c r="AL1242" i="3"/>
  <c r="AL1245" i="3"/>
  <c r="AL1244" i="3"/>
  <c r="AL1246" i="3"/>
  <c r="AB45" i="3"/>
  <c r="AC45" i="3"/>
  <c r="AL1262" i="3"/>
  <c r="AL1261" i="3"/>
  <c r="P622" i="3"/>
  <c r="T491" i="3"/>
  <c r="M12" i="3"/>
  <c r="M23" i="3" s="1"/>
  <c r="AB1001" i="3"/>
  <c r="AC1001" i="3"/>
  <c r="AB843" i="3"/>
  <c r="AC843" i="3"/>
  <c r="AC1100" i="3" s="1"/>
  <c r="X20" i="3" s="1"/>
  <c r="AB114" i="3"/>
  <c r="AC114" i="3"/>
  <c r="AB296" i="3"/>
  <c r="AC296" i="3"/>
  <c r="AB461" i="3"/>
  <c r="AB469" i="3" s="1"/>
  <c r="Y13" i="3" s="1"/>
  <c r="Z13" i="3" s="1"/>
  <c r="AC461" i="3"/>
  <c r="AC469" i="3" s="1"/>
  <c r="X13" i="3" s="1"/>
  <c r="AB135" i="3"/>
  <c r="AC135" i="3"/>
  <c r="AK1277" i="3"/>
  <c r="AL1271" i="3"/>
  <c r="AB941" i="3"/>
  <c r="AC941" i="3"/>
  <c r="AB1138" i="3"/>
  <c r="AC1138" i="3"/>
  <c r="AB1187" i="3"/>
  <c r="AC1187" i="3"/>
  <c r="AB985" i="3"/>
  <c r="AC985" i="3"/>
  <c r="AB1282" i="3"/>
  <c r="AC1282" i="3"/>
  <c r="AB1117" i="3"/>
  <c r="AC1117" i="3"/>
  <c r="AB951" i="3"/>
  <c r="AC951" i="3"/>
  <c r="AB894" i="3"/>
  <c r="AC894" i="3"/>
  <c r="AB1335" i="3"/>
  <c r="AC1335" i="3"/>
  <c r="AK1161" i="3"/>
  <c r="AK1338" i="3"/>
  <c r="AB1211" i="3"/>
  <c r="AC1211" i="3"/>
  <c r="AL678" i="3"/>
  <c r="AL680" i="3"/>
  <c r="AL677" i="3"/>
  <c r="AL679" i="3"/>
  <c r="AL606" i="3"/>
  <c r="AL610" i="3"/>
  <c r="AL607" i="3"/>
  <c r="AL602" i="3"/>
  <c r="AL601" i="3"/>
  <c r="AL608" i="3"/>
  <c r="AL600" i="3"/>
  <c r="AL609" i="3"/>
  <c r="AL599" i="3"/>
  <c r="AL604" i="3"/>
  <c r="AL597" i="3"/>
  <c r="AL605" i="3"/>
  <c r="AL596" i="3"/>
  <c r="AL612" i="3"/>
  <c r="AL611" i="3"/>
  <c r="AL603" i="3"/>
  <c r="AL598" i="3"/>
  <c r="AC1246" i="3"/>
  <c r="AB1246" i="3"/>
  <c r="AB933" i="3"/>
  <c r="AC933" i="3"/>
  <c r="AB1312" i="3"/>
  <c r="AC1312" i="3"/>
  <c r="AB1302" i="3"/>
  <c r="AC1302" i="3"/>
  <c r="AL622" i="3"/>
  <c r="AK1348" i="3"/>
  <c r="AL1341" i="3" s="1"/>
  <c r="AN297" i="3"/>
  <c r="AN321" i="3"/>
  <c r="AN322" i="3" s="1"/>
  <c r="AI1359" i="3"/>
  <c r="AI22" i="3" s="1"/>
  <c r="AB642" i="3"/>
  <c r="AC642" i="3"/>
  <c r="AL595" i="3"/>
  <c r="AL1254" i="3"/>
  <c r="AL1252" i="3"/>
  <c r="AL1253" i="3"/>
  <c r="AL1256" i="3"/>
  <c r="AB1344" i="3"/>
  <c r="AC1344" i="3"/>
  <c r="AL1139" i="3"/>
  <c r="AL1141" i="3"/>
  <c r="AL1142" i="3"/>
  <c r="AL1137" i="3"/>
  <c r="AL1143" i="3"/>
  <c r="AL1138" i="3"/>
  <c r="AC1242" i="3"/>
  <c r="AC1359" i="3" s="1"/>
  <c r="X22" i="3" s="1"/>
  <c r="AB1242" i="3"/>
  <c r="AL619" i="3"/>
  <c r="AL682" i="3"/>
  <c r="AB1315" i="3"/>
  <c r="AC1315" i="3"/>
  <c r="AB1288" i="3"/>
  <c r="AC1288" i="3"/>
  <c r="AB1067" i="3"/>
  <c r="AC1067" i="3"/>
  <c r="AB1307" i="3"/>
  <c r="AC1307" i="3"/>
  <c r="AB971" i="3"/>
  <c r="AC971" i="3"/>
  <c r="AK647" i="3"/>
  <c r="AB896" i="3"/>
  <c r="AC896" i="3"/>
  <c r="AB1172" i="3"/>
  <c r="AC1172" i="3"/>
  <c r="AB175" i="3"/>
  <c r="AB179" i="3" s="1"/>
  <c r="Y6" i="3" s="1"/>
  <c r="Z6" i="3" s="1"/>
  <c r="AC175" i="3"/>
  <c r="AB1298" i="3"/>
  <c r="AC1298" i="3"/>
  <c r="AL1221" i="3"/>
  <c r="AB1186" i="3"/>
  <c r="AC1186" i="3"/>
  <c r="AB1175" i="3"/>
  <c r="AC1175" i="3"/>
  <c r="AC37" i="3"/>
  <c r="AB37" i="3"/>
  <c r="G110" i="3"/>
  <c r="K4" i="3"/>
  <c r="K23" i="3" s="1"/>
  <c r="AA1225" i="3"/>
  <c r="AB1327" i="3"/>
  <c r="AC1327" i="3"/>
  <c r="AB765" i="3"/>
  <c r="Y18" i="3" s="1"/>
  <c r="Z18" i="3" s="1"/>
  <c r="AB902" i="3"/>
  <c r="AC902" i="3"/>
  <c r="AB1287" i="3"/>
  <c r="AC1287" i="3"/>
  <c r="AB892" i="3"/>
  <c r="AC892" i="3"/>
  <c r="AI1226" i="3"/>
  <c r="AI21" i="3" s="1"/>
  <c r="AM159" i="3"/>
  <c r="AM117" i="3"/>
  <c r="AM141" i="3" s="1"/>
  <c r="AM42" i="3"/>
  <c r="AM80" i="3"/>
  <c r="AN554" i="3"/>
  <c r="AN541" i="3"/>
  <c r="AN555" i="3"/>
  <c r="AN557" i="3" s="1"/>
  <c r="AN527" i="3"/>
  <c r="AN329" i="3"/>
  <c r="AN556" i="3"/>
  <c r="AK16" i="3"/>
  <c r="AN314" i="3"/>
  <c r="AN315" i="3"/>
  <c r="AN304" i="3"/>
  <c r="AM330" i="3"/>
  <c r="AM322" i="3"/>
  <c r="AM57" i="3"/>
  <c r="AN303" i="3"/>
  <c r="AN305" i="3"/>
  <c r="AN306" i="3" s="1"/>
  <c r="AM587" i="3"/>
  <c r="AI111" i="3"/>
  <c r="AI4" i="3" s="1"/>
  <c r="AN374" i="3"/>
  <c r="AM764" i="3"/>
  <c r="AK17" i="3"/>
  <c r="AN294" i="3"/>
  <c r="AN328" i="3"/>
  <c r="AN330" i="3" s="1"/>
  <c r="AK9" i="3"/>
  <c r="AM1348" i="3"/>
  <c r="AM306" i="3"/>
  <c r="AM904" i="3"/>
  <c r="AI1101" i="3"/>
  <c r="AI20" i="3" s="1"/>
  <c r="AI23" i="3" s="1"/>
  <c r="AM1055" i="3"/>
  <c r="AM944" i="3"/>
  <c r="AM1277" i="3"/>
  <c r="AM1017" i="3"/>
  <c r="AM840" i="3"/>
  <c r="AM934" i="3"/>
  <c r="AN254" i="3"/>
  <c r="AM428" i="3"/>
  <c r="AM299" i="3"/>
  <c r="AM1309" i="3"/>
  <c r="AM1264" i="3"/>
  <c r="AM1319" i="3"/>
  <c r="AM1357" i="3"/>
  <c r="AM974" i="3"/>
  <c r="AM879" i="3"/>
  <c r="AM912" i="3"/>
  <c r="AM964" i="3"/>
  <c r="AK18" i="3"/>
  <c r="AN753" i="3"/>
  <c r="AN763" i="3"/>
  <c r="AN758" i="3"/>
  <c r="AN752" i="3"/>
  <c r="AN757" i="3"/>
  <c r="AN762" i="3"/>
  <c r="AN764" i="3" s="1"/>
  <c r="AK20" i="3"/>
  <c r="AN835" i="3"/>
  <c r="AN836" i="3"/>
  <c r="AN843" i="3"/>
  <c r="AN844" i="3"/>
  <c r="AN861" i="3"/>
  <c r="AN873" i="3"/>
  <c r="AN838" i="3"/>
  <c r="AN885" i="3"/>
  <c r="AN917" i="3"/>
  <c r="AN918" i="3"/>
  <c r="AN932" i="3"/>
  <c r="AN933" i="3"/>
  <c r="AN939" i="3"/>
  <c r="AN941" i="3"/>
  <c r="AN1020" i="3"/>
  <c r="AN1046" i="3"/>
  <c r="AN897" i="3"/>
  <c r="AN909" i="3"/>
  <c r="AN910" i="3"/>
  <c r="AN959" i="3"/>
  <c r="AN960" i="3"/>
  <c r="AN961" i="3"/>
  <c r="AN1059" i="3"/>
  <c r="AN1060" i="3"/>
  <c r="AN1074" i="3"/>
  <c r="AN1084" i="3"/>
  <c r="AN1088" i="3"/>
  <c r="AN1089" i="3"/>
  <c r="AN893" i="3"/>
  <c r="AN834" i="3"/>
  <c r="AN860" i="3"/>
  <c r="AN862" i="3"/>
  <c r="AN863" i="3"/>
  <c r="AN887" i="3"/>
  <c r="AN1061" i="3"/>
  <c r="AN892" i="3"/>
  <c r="AN895" i="3"/>
  <c r="AN916" i="3"/>
  <c r="AN940" i="3"/>
  <c r="AN942" i="3"/>
  <c r="AN943" i="3"/>
  <c r="AN1054" i="3"/>
  <c r="AN1098" i="3"/>
  <c r="AN906" i="3"/>
  <c r="AN926" i="3"/>
  <c r="AN972" i="3"/>
  <c r="AN973" i="3"/>
  <c r="AN1067" i="3"/>
  <c r="AN1079" i="3"/>
  <c r="AN1062" i="3"/>
  <c r="AN983" i="3"/>
  <c r="AN1053" i="3"/>
  <c r="AN1029" i="3"/>
  <c r="AN1022" i="3"/>
  <c r="AN1004" i="3"/>
  <c r="AN982" i="3"/>
  <c r="AN970" i="3"/>
  <c r="AN949" i="3"/>
  <c r="AN938" i="3"/>
  <c r="AN924" i="3"/>
  <c r="AN888" i="3"/>
  <c r="AN874" i="3"/>
  <c r="AN869" i="3"/>
  <c r="AN864" i="3"/>
  <c r="AN837" i="3"/>
  <c r="AN886" i="3"/>
  <c r="AN839" i="3"/>
  <c r="AN896" i="3"/>
  <c r="AN1031" i="3"/>
  <c r="AN1002" i="3"/>
  <c r="AN922" i="3"/>
  <c r="AN907" i="3"/>
  <c r="AN865" i="3"/>
  <c r="AN1047" i="3"/>
  <c r="AN1034" i="3"/>
  <c r="AN1030" i="3"/>
  <c r="AN1023" i="3"/>
  <c r="AN1005" i="3"/>
  <c r="AN971" i="3"/>
  <c r="AN963" i="3"/>
  <c r="AN952" i="3"/>
  <c r="AN925" i="3"/>
  <c r="AN903" i="3"/>
  <c r="AN1042" i="3"/>
  <c r="AN1033" i="3"/>
  <c r="AN986" i="3"/>
  <c r="AN962" i="3"/>
  <c r="AN953" i="3"/>
  <c r="AN911" i="3"/>
  <c r="AN894" i="3"/>
  <c r="AN845" i="3"/>
  <c r="AN870" i="3"/>
  <c r="AN846" i="3"/>
  <c r="AN1043" i="3"/>
  <c r="AN1032" i="3"/>
  <c r="AN1025" i="3"/>
  <c r="AN1021" i="3"/>
  <c r="AN1003" i="3"/>
  <c r="AN985" i="3"/>
  <c r="AN981" i="3"/>
  <c r="AN969" i="3"/>
  <c r="AN954" i="3"/>
  <c r="AN950" i="3"/>
  <c r="AN923" i="3"/>
  <c r="AN908" i="3"/>
  <c r="AN901" i="3"/>
  <c r="AN1044" i="3"/>
  <c r="AN1024" i="3"/>
  <c r="AN984" i="3"/>
  <c r="AN968" i="3"/>
  <c r="AN951" i="3"/>
  <c r="AN927" i="3"/>
  <c r="AN902" i="3"/>
  <c r="AN884" i="3"/>
  <c r="AN871" i="3"/>
  <c r="AN852" i="3"/>
  <c r="AN847" i="3"/>
  <c r="AN883" i="3"/>
  <c r="AN872" i="3"/>
  <c r="AN853" i="3"/>
  <c r="AM745" i="3"/>
  <c r="AK4" i="3"/>
  <c r="AN54" i="3"/>
  <c r="AN62" i="3"/>
  <c r="AN84" i="3"/>
  <c r="AN83" i="3"/>
  <c r="AN95" i="3"/>
  <c r="AN107" i="3"/>
  <c r="AN55" i="3"/>
  <c r="AN56" i="3"/>
  <c r="AN108" i="3"/>
  <c r="AN85" i="3"/>
  <c r="AN101" i="3"/>
  <c r="AN100" i="3"/>
  <c r="AN68" i="3"/>
  <c r="AN50" i="3"/>
  <c r="AN46" i="3"/>
  <c r="AN45" i="3"/>
  <c r="AN38" i="3"/>
  <c r="AN49" i="3"/>
  <c r="AN39" i="3"/>
  <c r="AN47" i="3"/>
  <c r="AN41" i="3"/>
  <c r="AN102" i="3"/>
  <c r="AN90" i="3"/>
  <c r="AN76" i="3"/>
  <c r="AN74" i="3"/>
  <c r="AN67" i="3"/>
  <c r="AN66" i="3"/>
  <c r="AN61" i="3"/>
  <c r="AN60" i="3"/>
  <c r="AN48" i="3"/>
  <c r="AN40" i="3"/>
  <c r="AN36" i="3"/>
  <c r="AN75" i="3"/>
  <c r="AN37" i="3"/>
  <c r="AN89" i="3"/>
  <c r="AN91" i="3" s="1"/>
  <c r="AM1190" i="3"/>
  <c r="AM1161" i="3"/>
  <c r="AM1215" i="3"/>
  <c r="AM1223" i="3"/>
  <c r="AM1328" i="3"/>
  <c r="AM1247" i="3"/>
  <c r="AM1257" i="3"/>
  <c r="AM1338" i="3"/>
  <c r="AM1299" i="3"/>
  <c r="AM996" i="3"/>
  <c r="AM928" i="3"/>
  <c r="AM856" i="3"/>
  <c r="AM889" i="3"/>
  <c r="AM1049" i="3"/>
  <c r="AM1035" i="3"/>
  <c r="AM955" i="3"/>
  <c r="AM898" i="3"/>
  <c r="AM848" i="3"/>
  <c r="AM866" i="3"/>
  <c r="AM1063" i="3"/>
  <c r="AM1090" i="3"/>
  <c r="AM919" i="3"/>
  <c r="AM1026" i="3"/>
  <c r="AN813" i="3"/>
  <c r="AN803" i="3"/>
  <c r="AN792" i="3"/>
  <c r="AN771" i="3"/>
  <c r="AK19" i="3"/>
  <c r="AN787" i="3"/>
  <c r="AN808" i="3"/>
  <c r="AN783" i="3"/>
  <c r="AN776" i="3"/>
  <c r="AN798" i="3"/>
  <c r="AN782" i="3"/>
  <c r="AJ23" i="3"/>
  <c r="AL12" i="3" s="1"/>
  <c r="AN274" i="3"/>
  <c r="AM111" i="3"/>
  <c r="AM754" i="3"/>
  <c r="AN462" i="3"/>
  <c r="AN469" i="3" s="1"/>
  <c r="AM178" i="3"/>
  <c r="AM180" i="3" s="1"/>
  <c r="AM1202" i="3"/>
  <c r="AM1134" i="3"/>
  <c r="AM1170" i="3"/>
  <c r="AM1144" i="3"/>
  <c r="AM1178" i="3"/>
  <c r="AM1122" i="3"/>
  <c r="AM816" i="3"/>
  <c r="AM423" i="3"/>
  <c r="AN316" i="3"/>
  <c r="AN158" i="3"/>
  <c r="AN175" i="3"/>
  <c r="AN155" i="3"/>
  <c r="AN153" i="3" l="1"/>
  <c r="AL638" i="3"/>
  <c r="AL646" i="3"/>
  <c r="AL640" i="3"/>
  <c r="AL642" i="3"/>
  <c r="AL644" i="3"/>
  <c r="AL639" i="3"/>
  <c r="AL641" i="3"/>
  <c r="AL645" i="3"/>
  <c r="AL643" i="3"/>
  <c r="AL637" i="3"/>
  <c r="AL636" i="3"/>
  <c r="AL116" i="3"/>
  <c r="AL115" i="3"/>
  <c r="AK141" i="3"/>
  <c r="AC745" i="3"/>
  <c r="X17" i="3" s="1"/>
  <c r="AK745" i="3"/>
  <c r="AN177" i="3"/>
  <c r="AN173" i="3"/>
  <c r="AN154" i="3"/>
  <c r="AN159" i="3" s="1"/>
  <c r="AN299" i="3"/>
  <c r="AB110" i="3"/>
  <c r="Y4" i="3" s="1"/>
  <c r="AL635" i="3"/>
  <c r="AL1150" i="3"/>
  <c r="AL1155" i="3"/>
  <c r="AL1158" i="3"/>
  <c r="AL1151" i="3"/>
  <c r="AL1159" i="3"/>
  <c r="AL1149" i="3"/>
  <c r="AL1156" i="3"/>
  <c r="AL1157" i="3"/>
  <c r="AL1153" i="3"/>
  <c r="AL1160" i="3"/>
  <c r="AL1154" i="3"/>
  <c r="AK1226" i="3"/>
  <c r="AL1152" i="3"/>
  <c r="AC1225" i="3"/>
  <c r="X21" i="3" s="1"/>
  <c r="AC139" i="3"/>
  <c r="X5" i="3" s="1"/>
  <c r="AL114" i="3"/>
  <c r="AL505" i="3"/>
  <c r="AK515" i="3"/>
  <c r="AB1100" i="3"/>
  <c r="Y20" i="3" s="1"/>
  <c r="Z20" i="3" s="1"/>
  <c r="AK442" i="3"/>
  <c r="AL1344" i="3"/>
  <c r="AL1342" i="3"/>
  <c r="AL1346" i="3"/>
  <c r="AL1343" i="3"/>
  <c r="AL1347" i="3"/>
  <c r="AL1345" i="3"/>
  <c r="AL1337" i="3"/>
  <c r="AL1332" i="3"/>
  <c r="AL1335" i="3"/>
  <c r="AL1334" i="3"/>
  <c r="AL1336" i="3"/>
  <c r="AL1333" i="3"/>
  <c r="X8" i="3"/>
  <c r="AC331" i="3"/>
  <c r="X9" i="3" s="1"/>
  <c r="AL1307" i="3"/>
  <c r="AL1306" i="3"/>
  <c r="AL1305" i="3"/>
  <c r="AL1304" i="3"/>
  <c r="AL1303" i="3"/>
  <c r="AL1308" i="3"/>
  <c r="AN174" i="3"/>
  <c r="AN172" i="3"/>
  <c r="AN276" i="3"/>
  <c r="Y8" i="3"/>
  <c r="Z8" i="3" s="1"/>
  <c r="AB331" i="3"/>
  <c r="Y9" i="3" s="1"/>
  <c r="Z9" i="3" s="1"/>
  <c r="AN157" i="3"/>
  <c r="AN176" i="3"/>
  <c r="AN178" i="3" s="1"/>
  <c r="AN156" i="3"/>
  <c r="AM766" i="3"/>
  <c r="AC110" i="3"/>
  <c r="X4" i="3" s="1"/>
  <c r="AB1359" i="3"/>
  <c r="Y22" i="3" s="1"/>
  <c r="Z22" i="3" s="1"/>
  <c r="AL1331" i="3"/>
  <c r="AL1148" i="3"/>
  <c r="AB1225" i="3"/>
  <c r="Y21" i="3" s="1"/>
  <c r="Z21" i="3" s="1"/>
  <c r="AL1273" i="3"/>
  <c r="AL1272" i="3"/>
  <c r="AL1276" i="3"/>
  <c r="AL1275" i="3"/>
  <c r="AK1359" i="3"/>
  <c r="AL1274" i="3"/>
  <c r="AB139" i="3"/>
  <c r="Y5" i="3" s="1"/>
  <c r="Z5" i="3" s="1"/>
  <c r="P623" i="3"/>
  <c r="P624" i="3" s="1"/>
  <c r="AN197" i="3"/>
  <c r="AN230" i="3"/>
  <c r="AN202" i="3"/>
  <c r="AN218" i="3"/>
  <c r="AN208" i="3"/>
  <c r="AN207" i="3"/>
  <c r="AN231" i="3"/>
  <c r="AN228" i="3"/>
  <c r="AN233" i="3" s="1"/>
  <c r="AN214" i="3"/>
  <c r="AN232" i="3"/>
  <c r="AN229" i="3"/>
  <c r="AK7" i="3"/>
  <c r="AN222" i="3"/>
  <c r="AL1318" i="3"/>
  <c r="AL1314" i="3"/>
  <c r="AL1316" i="3"/>
  <c r="AL1317" i="3"/>
  <c r="AL1313" i="3"/>
  <c r="AL1315" i="3"/>
  <c r="AL1302" i="3"/>
  <c r="AN587" i="3"/>
  <c r="AM442" i="3"/>
  <c r="AM1101" i="3"/>
  <c r="AN759" i="3"/>
  <c r="AN784" i="3"/>
  <c r="AN816" i="3" s="1"/>
  <c r="AN1055" i="3"/>
  <c r="AM332" i="3"/>
  <c r="AL20" i="3"/>
  <c r="AL21" i="3"/>
  <c r="AN63" i="3"/>
  <c r="AN754" i="3"/>
  <c r="AN332" i="3"/>
  <c r="AM1226" i="3"/>
  <c r="AL6" i="3"/>
  <c r="AL22" i="3"/>
  <c r="AN996" i="3"/>
  <c r="AN69" i="3"/>
  <c r="AN889" i="3"/>
  <c r="AN974" i="3"/>
  <c r="AN904" i="3"/>
  <c r="AN919" i="3"/>
  <c r="AN840" i="3"/>
  <c r="AN80" i="3"/>
  <c r="AN57" i="3"/>
  <c r="AN856" i="3"/>
  <c r="AN1049" i="3"/>
  <c r="AN1017" i="3"/>
  <c r="AN955" i="3"/>
  <c r="AN912" i="3"/>
  <c r="AN898" i="3"/>
  <c r="AN964" i="3"/>
  <c r="AO305" i="3"/>
  <c r="AO304" i="3"/>
  <c r="AO303" i="3"/>
  <c r="AO273" i="3"/>
  <c r="AO272" i="3"/>
  <c r="AO271" i="3"/>
  <c r="AO270" i="3"/>
  <c r="AO269" i="3"/>
  <c r="AO268" i="3"/>
  <c r="AO231" i="3"/>
  <c r="AO229" i="3"/>
  <c r="AO228" i="3"/>
  <c r="AO177" i="3"/>
  <c r="AO176" i="3"/>
  <c r="AO175" i="3"/>
  <c r="AO174" i="3"/>
  <c r="AO173" i="3"/>
  <c r="AO172" i="3"/>
  <c r="AO232" i="3"/>
  <c r="AO230" i="3"/>
  <c r="AO156" i="3"/>
  <c r="AO135" i="3"/>
  <c r="AO114" i="3"/>
  <c r="AO107" i="3"/>
  <c r="AO109" i="3" s="1"/>
  <c r="AO85" i="3"/>
  <c r="AO83" i="3"/>
  <c r="AO158" i="3"/>
  <c r="AO154" i="3"/>
  <c r="AO136" i="3"/>
  <c r="AO115" i="3"/>
  <c r="AO108" i="3"/>
  <c r="AO84" i="3"/>
  <c r="AO62" i="3"/>
  <c r="AO56" i="3"/>
  <c r="AO55" i="3"/>
  <c r="AO54" i="3"/>
  <c r="AO37" i="3"/>
  <c r="AO41" i="3"/>
  <c r="AO48" i="3"/>
  <c r="AL8" i="3"/>
  <c r="AL14" i="3"/>
  <c r="AO38" i="3"/>
  <c r="AO49" i="3"/>
  <c r="AO89" i="3"/>
  <c r="AO116" i="3"/>
  <c r="AO137" i="3"/>
  <c r="AO155" i="3"/>
  <c r="AO214" i="3"/>
  <c r="AO251" i="3"/>
  <c r="AO296" i="3"/>
  <c r="AO321" i="3"/>
  <c r="AO153" i="3"/>
  <c r="AO202" i="3"/>
  <c r="AO222" i="3"/>
  <c r="AO252" i="3"/>
  <c r="AO295" i="3"/>
  <c r="AO248" i="3"/>
  <c r="AO293" i="3"/>
  <c r="AL15" i="3"/>
  <c r="AO39" i="3"/>
  <c r="AO46" i="3"/>
  <c r="AO50" i="3"/>
  <c r="AO61" i="3"/>
  <c r="AL7" i="3"/>
  <c r="AL9" i="3"/>
  <c r="AO36" i="3"/>
  <c r="AO40" i="3"/>
  <c r="AO47" i="3"/>
  <c r="AO75" i="3"/>
  <c r="AO45" i="3"/>
  <c r="AO60" i="3"/>
  <c r="AO66" i="3"/>
  <c r="AO67" i="3"/>
  <c r="AO68" i="3"/>
  <c r="AO208" i="3"/>
  <c r="AO249" i="3"/>
  <c r="AO253" i="3"/>
  <c r="AO294" i="3"/>
  <c r="AO298" i="3"/>
  <c r="AO74" i="3"/>
  <c r="AO76" i="3"/>
  <c r="AO90" i="3"/>
  <c r="AO95" i="3"/>
  <c r="AO100" i="3"/>
  <c r="AO101" i="3"/>
  <c r="AO102" i="3"/>
  <c r="AO121" i="3"/>
  <c r="AO122" i="3"/>
  <c r="AO123" i="3"/>
  <c r="AO128" i="3"/>
  <c r="AO129" i="3"/>
  <c r="AO130" i="3"/>
  <c r="AO157" i="3"/>
  <c r="AO218" i="3"/>
  <c r="AO250" i="3"/>
  <c r="AO297" i="3"/>
  <c r="AO207" i="3"/>
  <c r="AO320" i="3"/>
  <c r="AO197" i="3"/>
  <c r="AL13" i="3"/>
  <c r="AL5" i="3"/>
  <c r="AL16" i="3"/>
  <c r="AL4" i="3"/>
  <c r="AL10" i="3"/>
  <c r="AL11" i="3"/>
  <c r="AL17" i="3"/>
  <c r="AM1359" i="3"/>
  <c r="AL19" i="3"/>
  <c r="AN42" i="3"/>
  <c r="AN51" i="3"/>
  <c r="AN103" i="3"/>
  <c r="AN109" i="3"/>
  <c r="AN86" i="3"/>
  <c r="AL18" i="3"/>
  <c r="AN928" i="3"/>
  <c r="AN879" i="3"/>
  <c r="AN944" i="3"/>
  <c r="AN1035" i="3"/>
  <c r="AN866" i="3"/>
  <c r="AN1090" i="3"/>
  <c r="AN1063" i="3"/>
  <c r="AN1026" i="3"/>
  <c r="AN934" i="3"/>
  <c r="AN848" i="3"/>
  <c r="P626" i="3" l="1"/>
  <c r="Y23" i="3"/>
  <c r="Z4" i="3"/>
  <c r="Z23" i="3" s="1"/>
  <c r="AN1345" i="3"/>
  <c r="AN1334" i="3"/>
  <c r="AN1314" i="3"/>
  <c r="AN1302" i="3"/>
  <c r="AN1309" i="3" s="1"/>
  <c r="AN1290" i="3"/>
  <c r="AN1284" i="3"/>
  <c r="AN1273" i="3"/>
  <c r="AN1346" i="3"/>
  <c r="AN1317" i="3"/>
  <c r="AN1293" i="3"/>
  <c r="AN1253" i="3"/>
  <c r="AN1241" i="3"/>
  <c r="AN1304" i="3"/>
  <c r="AN1312" i="3"/>
  <c r="AN1240" i="3"/>
  <c r="AN1298" i="3"/>
  <c r="AN1276" i="3"/>
  <c r="AN1254" i="3"/>
  <c r="AN1327" i="3"/>
  <c r="AN1341" i="3"/>
  <c r="AN1307" i="3"/>
  <c r="AN1287" i="3"/>
  <c r="AN1263" i="3"/>
  <c r="AN1283" i="3"/>
  <c r="AN1308" i="3"/>
  <c r="AN1244" i="3"/>
  <c r="AN1288" i="3"/>
  <c r="AN1250" i="3"/>
  <c r="AN1343" i="3"/>
  <c r="AN1331" i="3"/>
  <c r="AN1313" i="3"/>
  <c r="AN1297" i="3"/>
  <c r="AN1289" i="3"/>
  <c r="AN1282" i="3"/>
  <c r="AN1271" i="3"/>
  <c r="AN1277" i="3" s="1"/>
  <c r="AN1344" i="3"/>
  <c r="AN1315" i="3"/>
  <c r="AN1291" i="3"/>
  <c r="AN1251" i="3"/>
  <c r="AN1355" i="3"/>
  <c r="AN1280" i="3"/>
  <c r="AN1246" i="3"/>
  <c r="AN1337" i="3"/>
  <c r="AN1296" i="3"/>
  <c r="AN1274" i="3"/>
  <c r="AN1252" i="3"/>
  <c r="AN1324" i="3"/>
  <c r="AN1328" i="3" s="1"/>
  <c r="AN1356" i="3"/>
  <c r="AN1318" i="3"/>
  <c r="AN1294" i="3"/>
  <c r="AN1281" i="3"/>
  <c r="AN1342" i="3"/>
  <c r="AN1303" i="3"/>
  <c r="AN1245" i="3"/>
  <c r="AN1262" i="3"/>
  <c r="AN1335" i="3"/>
  <c r="AN1272" i="3"/>
  <c r="AN1325" i="3"/>
  <c r="AN1347" i="3"/>
  <c r="AN1336" i="3"/>
  <c r="AN1316" i="3"/>
  <c r="AN1305" i="3"/>
  <c r="AN1292" i="3"/>
  <c r="AN1285" i="3"/>
  <c r="AN1275" i="3"/>
  <c r="AN1261" i="3"/>
  <c r="AN1332" i="3"/>
  <c r="AN1295" i="3"/>
  <c r="AN1255" i="3"/>
  <c r="AN1243" i="3"/>
  <c r="AN1306" i="3"/>
  <c r="AN1260" i="3"/>
  <c r="AN1264" i="3" s="1"/>
  <c r="AN1242" i="3"/>
  <c r="AN1333" i="3"/>
  <c r="AN1286" i="3"/>
  <c r="AN1256" i="3"/>
  <c r="AK22" i="3"/>
  <c r="AN1326" i="3"/>
  <c r="X23" i="3"/>
  <c r="AK15" i="3"/>
  <c r="AN511" i="3"/>
  <c r="AN505" i="3"/>
  <c r="AN510" i="3"/>
  <c r="AN512" i="3"/>
  <c r="AN504" i="3"/>
  <c r="AN1222" i="3"/>
  <c r="AN1201" i="3"/>
  <c r="AN1169" i="3"/>
  <c r="AN1157" i="3"/>
  <c r="AN1149" i="3"/>
  <c r="AN1133" i="3"/>
  <c r="AN1210" i="3"/>
  <c r="AN1154" i="3"/>
  <c r="AN1143" i="3"/>
  <c r="AN1159" i="3"/>
  <c r="AN1138" i="3"/>
  <c r="AN1181" i="3"/>
  <c r="AN1189" i="3"/>
  <c r="AN1172" i="3"/>
  <c r="AN1165" i="3"/>
  <c r="AN1177" i="3"/>
  <c r="AN1198" i="3"/>
  <c r="AN1166" i="3"/>
  <c r="AN1212" i="3"/>
  <c r="AN1213" i="3"/>
  <c r="AN1153" i="3"/>
  <c r="AN1139" i="3"/>
  <c r="AN1200" i="3"/>
  <c r="AN1150" i="3"/>
  <c r="AN1168" i="3"/>
  <c r="AN1187" i="3"/>
  <c r="AN1197" i="3"/>
  <c r="AN1129" i="3"/>
  <c r="AN1120" i="3"/>
  <c r="AN1140" i="3"/>
  <c r="AN1188" i="3"/>
  <c r="AN1195" i="3"/>
  <c r="AN1175" i="3"/>
  <c r="AN1214" i="3"/>
  <c r="AN1199" i="3"/>
  <c r="AN1167" i="3"/>
  <c r="AN1155" i="3"/>
  <c r="AN1142" i="3"/>
  <c r="AN1131" i="3"/>
  <c r="AN1208" i="3"/>
  <c r="AN1152" i="3"/>
  <c r="AN1141" i="3"/>
  <c r="AN1132" i="3"/>
  <c r="AK21" i="3"/>
  <c r="AN1186" i="3"/>
  <c r="AN1176" i="3"/>
  <c r="AN1164" i="3"/>
  <c r="AN1127" i="3"/>
  <c r="AN1163" i="3"/>
  <c r="AN1130" i="3"/>
  <c r="AN1160" i="3"/>
  <c r="AN1121" i="3"/>
  <c r="AN1119" i="3"/>
  <c r="AN1115" i="3"/>
  <c r="AN1116" i="3"/>
  <c r="AN1196" i="3"/>
  <c r="AN1174" i="3"/>
  <c r="AN1209" i="3"/>
  <c r="AN1211" i="3"/>
  <c r="AN1158" i="3"/>
  <c r="AN1151" i="3"/>
  <c r="AN1137" i="3"/>
  <c r="AN1156" i="3"/>
  <c r="AN1148" i="3"/>
  <c r="AN1221" i="3"/>
  <c r="AN1223" i="3" s="1"/>
  <c r="AN1117" i="3"/>
  <c r="AN1118" i="3"/>
  <c r="AN1128" i="3"/>
  <c r="AN1173" i="3"/>
  <c r="AN136" i="3"/>
  <c r="AN128" i="3"/>
  <c r="AN131" i="3" s="1"/>
  <c r="AN130" i="3"/>
  <c r="AN116" i="3"/>
  <c r="AN129" i="3"/>
  <c r="AN114" i="3"/>
  <c r="AN117" i="3" s="1"/>
  <c r="AN122" i="3"/>
  <c r="AN123" i="3"/>
  <c r="AK5" i="3"/>
  <c r="AN135" i="3"/>
  <c r="AN138" i="3" s="1"/>
  <c r="AN121" i="3"/>
  <c r="AN124" i="3" s="1"/>
  <c r="AN115" i="3"/>
  <c r="AN137" i="3"/>
  <c r="AN209" i="3"/>
  <c r="AN235" i="3" s="1"/>
  <c r="AK12" i="3"/>
  <c r="AN427" i="3"/>
  <c r="AN416" i="3"/>
  <c r="AN418" i="3" s="1"/>
  <c r="AN422" i="3"/>
  <c r="AN417" i="3"/>
  <c r="AN410" i="3"/>
  <c r="AN426" i="3"/>
  <c r="AN428" i="3" s="1"/>
  <c r="AN421" i="3"/>
  <c r="AN423" i="3" s="1"/>
  <c r="AN409" i="3"/>
  <c r="AN411" i="3" s="1"/>
  <c r="AN638" i="3"/>
  <c r="AN625" i="3"/>
  <c r="AN612" i="3"/>
  <c r="AN608" i="3"/>
  <c r="AN604" i="3"/>
  <c r="AN600" i="3"/>
  <c r="AN596" i="3"/>
  <c r="AN643" i="3"/>
  <c r="AN635" i="3"/>
  <c r="AN624" i="3"/>
  <c r="AN644" i="3"/>
  <c r="AN677" i="3"/>
  <c r="AN694" i="3"/>
  <c r="AN678" i="3"/>
  <c r="AN658" i="3"/>
  <c r="AN646" i="3"/>
  <c r="AN621" i="3"/>
  <c r="AN606" i="3"/>
  <c r="AN598" i="3"/>
  <c r="AN639" i="3"/>
  <c r="AN620" i="3"/>
  <c r="AN681" i="3"/>
  <c r="AN670" i="3"/>
  <c r="AN673" i="3" s="1"/>
  <c r="AN690" i="3"/>
  <c r="AN619" i="3"/>
  <c r="AN601" i="3"/>
  <c r="AN645" i="3"/>
  <c r="AN626" i="3"/>
  <c r="AN665" i="3"/>
  <c r="AN671" i="3"/>
  <c r="AN636" i="3"/>
  <c r="AN623" i="3"/>
  <c r="AN611" i="3"/>
  <c r="AN607" i="3"/>
  <c r="AN603" i="3"/>
  <c r="AN599" i="3"/>
  <c r="AN595" i="3"/>
  <c r="AN641" i="3"/>
  <c r="AN630" i="3"/>
  <c r="AN622" i="3"/>
  <c r="AN642" i="3"/>
  <c r="AN679" i="3"/>
  <c r="AN657" i="3"/>
  <c r="AN659" i="3" s="1"/>
  <c r="AN680" i="3"/>
  <c r="AN689" i="3"/>
  <c r="AN629" i="3"/>
  <c r="AN610" i="3"/>
  <c r="AN602" i="3"/>
  <c r="AN652" i="3"/>
  <c r="AN628" i="3"/>
  <c r="AN664" i="3"/>
  <c r="AN666" i="3" s="1"/>
  <c r="AN687" i="3"/>
  <c r="AN640" i="3"/>
  <c r="AN627" i="3"/>
  <c r="AN609" i="3"/>
  <c r="AN605" i="3"/>
  <c r="AN597" i="3"/>
  <c r="AN637" i="3"/>
  <c r="AN651" i="3"/>
  <c r="AN653" i="3" s="1"/>
  <c r="AN682" i="3"/>
  <c r="AN688" i="3"/>
  <c r="AO57" i="3"/>
  <c r="AO209" i="3"/>
  <c r="AN766" i="3"/>
  <c r="AO80" i="3"/>
  <c r="AO63" i="3"/>
  <c r="AO103" i="3"/>
  <c r="AO159" i="3"/>
  <c r="AN1101" i="3"/>
  <c r="AO131" i="3"/>
  <c r="AO51" i="3"/>
  <c r="AO42" i="3"/>
  <c r="AO178" i="3"/>
  <c r="AN141" i="3"/>
  <c r="AN180" i="3"/>
  <c r="AN111" i="3"/>
  <c r="AO69" i="3"/>
  <c r="AO299" i="3"/>
  <c r="AO86" i="3"/>
  <c r="AO138" i="3"/>
  <c r="AO233" i="3"/>
  <c r="AO91" i="3"/>
  <c r="AL23" i="3"/>
  <c r="AO124" i="3"/>
  <c r="AO254" i="3"/>
  <c r="AO117" i="3"/>
  <c r="AO274" i="3"/>
  <c r="AO306" i="3"/>
  <c r="AO235" i="3" l="1"/>
  <c r="AK23" i="3"/>
  <c r="AN1144" i="3"/>
  <c r="AN513" i="3"/>
  <c r="AN613" i="3"/>
  <c r="AN631" i="3"/>
  <c r="AN647" i="3"/>
  <c r="AN1170" i="3"/>
  <c r="AN1190" i="3"/>
  <c r="AN1338" i="3"/>
  <c r="AN1319" i="3"/>
  <c r="AN1357" i="3"/>
  <c r="AN1257" i="3"/>
  <c r="AN1348" i="3"/>
  <c r="AN1122" i="3"/>
  <c r="AN1178" i="3"/>
  <c r="AN1247" i="3"/>
  <c r="AN691" i="3"/>
  <c r="AN683" i="3"/>
  <c r="AN442" i="3"/>
  <c r="AN1161" i="3"/>
  <c r="AN1134" i="3"/>
  <c r="AN1215" i="3"/>
  <c r="AN1202" i="3"/>
  <c r="AN506" i="3"/>
  <c r="AN1299" i="3"/>
  <c r="P627" i="3"/>
  <c r="P628" i="3" s="1"/>
  <c r="AO180" i="3"/>
  <c r="AO141" i="3"/>
  <c r="AO111" i="3"/>
  <c r="AO276" i="3"/>
  <c r="AM22" i="3" l="1"/>
  <c r="AM6" i="3"/>
  <c r="AM4" i="3"/>
  <c r="AP230" i="3"/>
  <c r="AP108" i="3"/>
  <c r="AP202" i="3"/>
  <c r="AP85" i="3"/>
  <c r="AP214" i="3"/>
  <c r="AP268" i="3"/>
  <c r="AP62" i="3"/>
  <c r="AP154" i="3"/>
  <c r="AP222" i="3"/>
  <c r="AP95" i="3"/>
  <c r="AP321" i="3"/>
  <c r="AP157" i="3"/>
  <c r="AP90" i="3"/>
  <c r="AP66" i="3"/>
  <c r="AP40" i="3"/>
  <c r="AP293" i="3"/>
  <c r="AP137" i="3"/>
  <c r="AP253" i="3"/>
  <c r="AP39" i="3"/>
  <c r="AP207" i="3"/>
  <c r="AP209" i="3" s="1"/>
  <c r="AP121" i="3"/>
  <c r="AP50" i="3"/>
  <c r="AP75" i="3"/>
  <c r="AP49" i="3"/>
  <c r="AM12" i="3"/>
  <c r="AM13" i="3"/>
  <c r="AM19" i="3"/>
  <c r="AP270" i="3"/>
  <c r="AP60" i="3"/>
  <c r="AP218" i="3"/>
  <c r="AP248" i="3"/>
  <c r="AP128" i="3"/>
  <c r="AP131" i="3" s="1"/>
  <c r="AP153" i="3"/>
  <c r="AM11" i="3"/>
  <c r="AM8" i="3"/>
  <c r="AM21" i="3"/>
  <c r="AP176" i="3"/>
  <c r="AP156" i="3"/>
  <c r="AP54" i="3"/>
  <c r="AP177" i="3"/>
  <c r="AP172" i="3"/>
  <c r="AP250" i="3"/>
  <c r="AP67" i="3"/>
  <c r="AP294" i="3"/>
  <c r="AP37" i="3"/>
  <c r="AP208" i="3"/>
  <c r="AP68" i="3"/>
  <c r="AM16" i="3"/>
  <c r="AM18" i="3"/>
  <c r="AP231" i="3"/>
  <c r="AP158" i="3"/>
  <c r="AP269" i="3"/>
  <c r="AP114" i="3"/>
  <c r="AP229" i="3"/>
  <c r="AP303" i="3"/>
  <c r="AP84" i="3"/>
  <c r="AP173" i="3"/>
  <c r="AP271" i="3"/>
  <c r="AP107" i="3"/>
  <c r="AP109" i="3" s="1"/>
  <c r="AP320" i="3"/>
  <c r="AP130" i="3"/>
  <c r="AP76" i="3"/>
  <c r="AP61" i="3"/>
  <c r="AP36" i="3"/>
  <c r="AP42" i="3" s="1"/>
  <c r="AP251" i="3"/>
  <c r="AP47" i="3"/>
  <c r="AP249" i="3"/>
  <c r="AP297" i="3"/>
  <c r="AP129" i="3"/>
  <c r="AP101" i="3"/>
  <c r="AP46" i="3"/>
  <c r="AP296" i="3"/>
  <c r="AP89" i="3"/>
  <c r="AP91" i="3" s="1"/>
  <c r="AM9" i="3"/>
  <c r="AM17" i="3"/>
  <c r="AM14" i="3"/>
  <c r="AP174" i="3"/>
  <c r="AP273" i="3"/>
  <c r="AP135" i="3"/>
  <c r="AP272" i="3"/>
  <c r="AP56" i="3"/>
  <c r="AP115" i="3"/>
  <c r="AP175" i="3"/>
  <c r="AP305" i="3"/>
  <c r="AP295" i="3"/>
  <c r="AP123" i="3"/>
  <c r="AP74" i="3"/>
  <c r="AP80" i="3" s="1"/>
  <c r="AP298" i="3"/>
  <c r="AP41" i="3"/>
  <c r="AP252" i="3"/>
  <c r="AP100" i="3"/>
  <c r="AP103" i="3" s="1"/>
  <c r="AP45" i="3"/>
  <c r="AP51" i="3" s="1"/>
  <c r="AM10" i="3"/>
  <c r="AM5" i="3"/>
  <c r="AP232" i="3"/>
  <c r="AP55" i="3"/>
  <c r="AP304" i="3"/>
  <c r="AP228" i="3"/>
  <c r="AP136" i="3"/>
  <c r="AP83" i="3"/>
  <c r="AP86" i="3" s="1"/>
  <c r="AP102" i="3"/>
  <c r="AP48" i="3"/>
  <c r="AP197" i="3"/>
  <c r="AP155" i="3"/>
  <c r="AP122" i="3"/>
  <c r="AP38" i="3"/>
  <c r="AP116" i="3"/>
  <c r="AM7" i="3"/>
  <c r="AM15" i="3"/>
  <c r="AM20" i="3"/>
  <c r="P629" i="3"/>
  <c r="P630" i="3" s="1"/>
  <c r="P745" i="3" s="1"/>
  <c r="S17" i="3" s="1"/>
  <c r="AN1226" i="3"/>
  <c r="AN515" i="3"/>
  <c r="AN1359" i="3"/>
  <c r="AN745" i="3"/>
  <c r="R23" i="3" l="1"/>
  <c r="S23" i="3"/>
  <c r="AM23" i="3"/>
  <c r="AP138" i="3"/>
  <c r="AP306" i="3"/>
  <c r="AP254" i="3"/>
  <c r="AP276" i="3" s="1"/>
  <c r="AP233" i="3"/>
  <c r="AP235" i="3" s="1"/>
  <c r="AP69" i="3"/>
  <c r="AP274" i="3"/>
  <c r="AP299" i="3"/>
  <c r="AP57" i="3"/>
  <c r="AP111" i="3" s="1"/>
  <c r="AP117" i="3"/>
  <c r="AP178" i="3"/>
  <c r="AP159" i="3"/>
  <c r="AP180" i="3" s="1"/>
  <c r="AP63" i="3"/>
  <c r="AP124" i="3"/>
  <c r="I591" i="2"/>
  <c r="AP141" i="3" l="1"/>
  <c r="J591" i="2"/>
  <c r="J770" i="2"/>
  <c r="I101" i="2" l="1"/>
  <c r="I102" i="2"/>
  <c r="I100" i="2"/>
  <c r="I104" i="2"/>
  <c r="I105" i="2" l="1"/>
  <c r="I103" i="2"/>
  <c r="J195" i="2"/>
  <c r="J196" i="2" l="1"/>
  <c r="J194" i="2"/>
  <c r="J197" i="2"/>
  <c r="J216" i="2" l="1"/>
  <c r="I217" i="2"/>
  <c r="I215" i="2"/>
  <c r="J218" i="2"/>
  <c r="I218" i="2" l="1"/>
  <c r="J215" i="2"/>
  <c r="J217" i="2"/>
  <c r="I216" i="2"/>
  <c r="J224" i="2"/>
  <c r="J223" i="2"/>
  <c r="J222" i="2"/>
  <c r="J226" i="2" l="1"/>
  <c r="J225" i="2" l="1"/>
  <c r="J231" i="2"/>
  <c r="I231" i="2" l="1"/>
  <c r="J239" i="2"/>
  <c r="I238" i="2"/>
  <c r="I237" i="2"/>
  <c r="J238" i="2" l="1"/>
  <c r="J237" i="2"/>
  <c r="I239" i="2"/>
  <c r="J247" i="2"/>
  <c r="J246" i="2"/>
  <c r="I245" i="2"/>
  <c r="J245" i="2" l="1"/>
  <c r="I247" i="2"/>
  <c r="I246" i="2"/>
  <c r="J260" i="2"/>
  <c r="J259" i="2"/>
  <c r="I258" i="2"/>
  <c r="J258" i="2" l="1"/>
  <c r="I259" i="2"/>
  <c r="I260" i="2"/>
  <c r="J268" i="2"/>
  <c r="I267" i="2"/>
  <c r="I269" i="2"/>
  <c r="J269" i="2" l="1"/>
  <c r="J267" i="2"/>
  <c r="I268" i="2"/>
  <c r="J278" i="2"/>
  <c r="J277" i="2"/>
  <c r="I278" i="2" l="1"/>
  <c r="I277" i="2"/>
  <c r="J285" i="2"/>
  <c r="I282" i="2"/>
  <c r="I287" i="2"/>
  <c r="J286" i="2"/>
  <c r="I284" i="2"/>
  <c r="I283" i="2"/>
  <c r="J287" i="2" l="1"/>
  <c r="J284" i="2"/>
  <c r="I285" i="2"/>
  <c r="J283" i="2"/>
  <c r="J282" i="2"/>
  <c r="I286" i="2"/>
  <c r="I296" i="2"/>
  <c r="J300" i="2"/>
  <c r="J301" i="2"/>
  <c r="I299" i="2"/>
  <c r="J298" i="2"/>
  <c r="J297" i="2"/>
  <c r="J296" i="2" l="1"/>
  <c r="I298" i="2"/>
  <c r="I301" i="2"/>
  <c r="I297" i="2"/>
  <c r="I300" i="2"/>
  <c r="J299" i="2"/>
  <c r="J305" i="2"/>
  <c r="J306" i="2"/>
  <c r="I305" i="2" l="1"/>
  <c r="I306" i="2"/>
  <c r="J312" i="2"/>
  <c r="I311" i="2"/>
  <c r="I314" i="2"/>
  <c r="I310" i="2"/>
  <c r="J313" i="2"/>
  <c r="J315" i="2"/>
  <c r="J314" i="2" l="1"/>
  <c r="J310" i="2"/>
  <c r="J311" i="2"/>
  <c r="I313" i="2"/>
  <c r="I312" i="2"/>
  <c r="I315" i="2"/>
  <c r="I320" i="2"/>
  <c r="J319" i="2"/>
  <c r="I319" i="2" l="1"/>
  <c r="J320" i="2"/>
  <c r="J335" i="2"/>
  <c r="I338" i="2"/>
  <c r="I336" i="2"/>
  <c r="I339" i="2"/>
  <c r="J337" i="2"/>
  <c r="J334" i="2"/>
  <c r="J336" i="2" l="1"/>
  <c r="J339" i="2"/>
  <c r="I334" i="2"/>
  <c r="J338" i="2"/>
  <c r="I337" i="2"/>
  <c r="I335" i="2"/>
  <c r="J377" i="2" l="1"/>
  <c r="I379" i="2"/>
  <c r="I378" i="2"/>
  <c r="J379" i="2" l="1"/>
  <c r="J378" i="2"/>
  <c r="I377" i="2"/>
  <c r="I386" i="2"/>
  <c r="I391" i="2"/>
  <c r="J389" i="2"/>
  <c r="I388" i="2"/>
  <c r="I387" i="2"/>
  <c r="J391" i="2" l="1"/>
  <c r="I389" i="2"/>
  <c r="J387" i="2"/>
  <c r="J386" i="2"/>
  <c r="J388" i="2"/>
  <c r="I395" i="2"/>
  <c r="J402" i="2"/>
  <c r="J396" i="2"/>
  <c r="I398" i="2"/>
  <c r="I399" i="2"/>
  <c r="I401" i="2"/>
  <c r="J400" i="2"/>
  <c r="I397" i="2"/>
  <c r="J397" i="2" l="1"/>
  <c r="J401" i="2"/>
  <c r="J398" i="2"/>
  <c r="I402" i="2"/>
  <c r="I400" i="2"/>
  <c r="J399" i="2"/>
  <c r="I396" i="2"/>
  <c r="J395" i="2"/>
  <c r="J406" i="2"/>
  <c r="I407" i="2"/>
  <c r="J407" i="2" l="1"/>
  <c r="I406" i="2"/>
  <c r="J414" i="2"/>
  <c r="I413" i="2"/>
  <c r="J413" i="2" l="1"/>
  <c r="I414" i="2"/>
  <c r="J450" i="2" l="1"/>
  <c r="I449" i="2"/>
  <c r="I445" i="2"/>
  <c r="J448" i="2"/>
  <c r="J447" i="2"/>
  <c r="I448" i="2" l="1"/>
  <c r="J449" i="2"/>
  <c r="J445" i="2"/>
  <c r="I447" i="2"/>
  <c r="I450" i="2"/>
  <c r="J504" i="2"/>
  <c r="I504" i="2" l="1"/>
  <c r="I516" i="2"/>
  <c r="I515" i="2"/>
  <c r="J513" i="2"/>
  <c r="J514" i="2"/>
  <c r="J516" i="2" l="1"/>
  <c r="I513" i="2"/>
  <c r="J515" i="2"/>
  <c r="I514" i="2"/>
  <c r="J545" i="2" l="1"/>
  <c r="I544" i="2"/>
  <c r="I545" i="2" l="1"/>
  <c r="J544" i="2"/>
  <c r="I214" i="2" l="1"/>
  <c r="J214" i="2"/>
  <c r="J348" i="2"/>
  <c r="I348" i="2"/>
  <c r="J355" i="2"/>
  <c r="I355" i="2"/>
  <c r="J347" i="2"/>
  <c r="I347" i="2"/>
  <c r="J354" i="2"/>
  <c r="I354" i="2"/>
  <c r="J350" i="2"/>
  <c r="I350" i="2"/>
  <c r="J346" i="2"/>
  <c r="I346" i="2"/>
  <c r="J352" i="2"/>
  <c r="I352" i="2"/>
  <c r="J351" i="2"/>
  <c r="I351" i="2"/>
  <c r="J344" i="2"/>
  <c r="I344" i="2"/>
  <c r="J353" i="2"/>
  <c r="I353" i="2"/>
  <c r="J345" i="2"/>
  <c r="I345" i="2"/>
  <c r="J366" i="2"/>
  <c r="I366" i="2"/>
  <c r="J369" i="2"/>
  <c r="I369" i="2"/>
  <c r="J372" i="2"/>
  <c r="I372" i="2"/>
  <c r="J363" i="2"/>
  <c r="I363" i="2"/>
  <c r="J371" i="2"/>
  <c r="I371" i="2"/>
  <c r="J365" i="2"/>
  <c r="I365" i="2"/>
  <c r="J368" i="2"/>
  <c r="I368" i="2"/>
  <c r="J373" i="2"/>
  <c r="I373" i="2"/>
  <c r="J370" i="2"/>
  <c r="I370" i="2"/>
  <c r="J367" i="2"/>
  <c r="I367" i="2"/>
  <c r="J364" i="2"/>
  <c r="I364" i="2"/>
  <c r="I508" i="2"/>
  <c r="J508" i="2"/>
  <c r="J506" i="2"/>
  <c r="I506" i="2"/>
  <c r="J509" i="2"/>
  <c r="I509" i="2"/>
  <c r="J507" i="2"/>
  <c r="I507" i="2"/>
  <c r="J505" i="2"/>
  <c r="I505" i="2"/>
  <c r="J539" i="2"/>
  <c r="I539" i="2"/>
  <c r="I538" i="2"/>
  <c r="J538" i="2"/>
  <c r="J66" i="2" l="1"/>
  <c r="I66" i="2"/>
  <c r="I70" i="2"/>
  <c r="J70" i="2"/>
  <c r="I67" i="2"/>
  <c r="J67" i="2"/>
  <c r="I71" i="2"/>
  <c r="J71" i="2"/>
  <c r="I68" i="2"/>
  <c r="J68" i="2"/>
  <c r="I69" i="2"/>
  <c r="J69" i="2"/>
  <c r="I77" i="2"/>
  <c r="J77" i="2"/>
  <c r="I78" i="2"/>
  <c r="J78" i="2"/>
  <c r="I75" i="2"/>
  <c r="J75" i="2"/>
  <c r="I79" i="2"/>
  <c r="J79" i="2"/>
  <c r="I76" i="2"/>
  <c r="J76" i="2"/>
  <c r="I80" i="2"/>
  <c r="J80" i="2"/>
  <c r="I84" i="2"/>
  <c r="J84" i="2"/>
  <c r="I86" i="2"/>
  <c r="J86" i="2"/>
  <c r="I85" i="2"/>
  <c r="J85" i="2"/>
  <c r="I92" i="2"/>
  <c r="J92" i="2"/>
  <c r="I91" i="2"/>
  <c r="J91" i="2"/>
  <c r="I90" i="2"/>
  <c r="J90" i="2"/>
  <c r="J446" i="2" l="1"/>
  <c r="I446" i="2"/>
  <c r="J466" i="2"/>
  <c r="I466" i="2"/>
  <c r="I468" i="2"/>
  <c r="J468" i="2"/>
  <c r="I463" i="2"/>
  <c r="J463" i="2"/>
  <c r="I467" i="2"/>
  <c r="J467" i="2"/>
  <c r="I465" i="2"/>
  <c r="J465" i="2"/>
  <c r="J464" i="2"/>
  <c r="I464" i="2"/>
  <c r="J566" i="2"/>
  <c r="I566" i="2"/>
  <c r="I567" i="2"/>
  <c r="J567" i="2"/>
  <c r="I587" i="2"/>
  <c r="J587" i="2"/>
  <c r="I588" i="2"/>
  <c r="J588" i="2"/>
  <c r="I613" i="2"/>
  <c r="J613" i="2"/>
  <c r="I614" i="2"/>
  <c r="J614" i="2"/>
</calcChain>
</file>

<file path=xl/sharedStrings.xml><?xml version="1.0" encoding="utf-8"?>
<sst xmlns="http://schemas.openxmlformats.org/spreadsheetml/2006/main" count="10108" uniqueCount="2020">
  <si>
    <t>Резьбовые фитинги Euros</t>
  </si>
  <si>
    <t>Назначение и область применения:</t>
  </si>
  <si>
    <t>Конструктивные особенности:</t>
  </si>
  <si>
    <t>• Материал: высокопрочная горячепрессованная латунь CW617N стандарта EN12165</t>
  </si>
  <si>
    <t>• Специальная насечка на наружной резьбе для эффективного удержания уплотнительного материала.</t>
  </si>
  <si>
    <t>Технические характеристики:</t>
  </si>
  <si>
    <t>Макс. рабочее давление: 40 бар (до 1"); 25 бар (свыше 1")</t>
  </si>
  <si>
    <t>EU.ST30470</t>
  </si>
  <si>
    <t>Тройник</t>
  </si>
  <si>
    <t>Внутренняя резьба</t>
  </si>
  <si>
    <t>Артикул</t>
  </si>
  <si>
    <t>Размер</t>
  </si>
  <si>
    <t>Вес, г</t>
  </si>
  <si>
    <t>Упаковка, шт.</t>
  </si>
  <si>
    <t>Коробка, шт.</t>
  </si>
  <si>
    <t>Цена, р.</t>
  </si>
  <si>
    <t>Фото</t>
  </si>
  <si>
    <t>Тройник переходной</t>
  </si>
  <si>
    <t>EU.ST3015</t>
  </si>
  <si>
    <t>Муфта</t>
  </si>
  <si>
    <t>EU.ST3012</t>
  </si>
  <si>
    <t>Муфта переходная</t>
  </si>
  <si>
    <t>EU.ST3021</t>
  </si>
  <si>
    <t>Угольник</t>
  </si>
  <si>
    <t>EU.ST3024</t>
  </si>
  <si>
    <t>Внутренняя-наружная резьба</t>
  </si>
  <si>
    <t>EU.ST3031</t>
  </si>
  <si>
    <t>Наружная-наружная резьба</t>
  </si>
  <si>
    <t>EU.ST3038</t>
  </si>
  <si>
    <t>Сгон угловой с накидной гайкой</t>
  </si>
  <si>
    <t>EU.ST3265</t>
  </si>
  <si>
    <t>Внутренняя-внутренняя резьба</t>
  </si>
  <si>
    <t>EU.ST3046</t>
  </si>
  <si>
    <t>Сгон прямой с накидной гайкой</t>
  </si>
  <si>
    <t>EU.ST3014</t>
  </si>
  <si>
    <t>Ниппель</t>
  </si>
  <si>
    <t>EU.ST3271</t>
  </si>
  <si>
    <t>Удлинитель</t>
  </si>
  <si>
    <t>Нипель переходной</t>
  </si>
  <si>
    <t>Футорка</t>
  </si>
  <si>
    <t>EU.ST30190</t>
  </si>
  <si>
    <t>Пробка</t>
  </si>
  <si>
    <t>Наружная резьба</t>
  </si>
  <si>
    <t>EU.ST30170</t>
  </si>
  <si>
    <t>Заглушка</t>
  </si>
  <si>
    <t>Переходник</t>
  </si>
  <si>
    <t>EU.ST30760</t>
  </si>
  <si>
    <t>Контргайка</t>
  </si>
  <si>
    <t>EU.ST30490</t>
  </si>
  <si>
    <t>Водорозетка</t>
  </si>
  <si>
    <t>EU.ST30510</t>
  </si>
  <si>
    <t>Тройник с переходом на наружную резьбу</t>
  </si>
  <si>
    <t>Внутренняя-наружная-внутренняя резьба</t>
  </si>
  <si>
    <t>Тройник с двумя переходами на наружную резьбу</t>
  </si>
  <si>
    <t>Внутренняя-наружная-наружная резьба</t>
  </si>
  <si>
    <t>EU.ST1282</t>
  </si>
  <si>
    <t>EU.ST12830</t>
  </si>
  <si>
    <t>EU.ST12850</t>
  </si>
  <si>
    <t>EU.ST12860</t>
  </si>
  <si>
    <t>EU.ST12870</t>
  </si>
  <si>
    <t>EU.ST12880</t>
  </si>
  <si>
    <t>EU.ST10850</t>
  </si>
  <si>
    <t>EU.ST10860</t>
  </si>
  <si>
    <t>EU.ST10160</t>
  </si>
  <si>
    <t>EU.ST20750</t>
  </si>
  <si>
    <t>Арматура для подключения бытовой техники</t>
  </si>
  <si>
    <t>Рабочее давление: 10 bar</t>
  </si>
  <si>
    <t>EU.ST10890</t>
  </si>
  <si>
    <t>Кран шаровой MINI</t>
  </si>
  <si>
    <t>EU.ST10340</t>
  </si>
  <si>
    <t>EU.ST50550</t>
  </si>
  <si>
    <t>Кран шаровой угловой для подключения сантехнических приборов</t>
  </si>
  <si>
    <t>EU.ST50142</t>
  </si>
  <si>
    <t>Кран шаровой  для подключения сантехнических приборов</t>
  </si>
  <si>
    <t>EU.ST10580</t>
  </si>
  <si>
    <t>Дренажный шаровой кран с пробкой</t>
  </si>
  <si>
    <t>Коллектор с регулируемыми вентилями и переходами на наружную резьбу</t>
  </si>
  <si>
    <t>2выхода - 3/4" х 1/2"</t>
  </si>
  <si>
    <t>3выхода - 3/4" х 1/2"</t>
  </si>
  <si>
    <t>4выхода - 3/4" х 1/2"</t>
  </si>
  <si>
    <t>2выхода - 1" х 1/2"</t>
  </si>
  <si>
    <t>3выхода - 1" х 1/2"</t>
  </si>
  <si>
    <t>4выхода - 1" х 1/2"</t>
  </si>
  <si>
    <t>Соединитель обжимной коллекторный для металлополимерной трубы</t>
  </si>
  <si>
    <t>Вентили радиаторные Euros с ручным управлением</t>
  </si>
  <si>
    <t>Основное назначение вентиля - регулирование расхода теплоносителя через отопительные приборы.</t>
  </si>
  <si>
    <t>• Корпус вентилей выполнен из высокопрочной горячепрессованной латуни CW617N стандарта EN12165.</t>
  </si>
  <si>
    <t>• Наличие полусгона позволяет отсоединять радиатор без демонтажа трубопроводов</t>
  </si>
  <si>
    <t>Макс. рабочее давление: 10 бар</t>
  </si>
  <si>
    <t>EU.ST61220</t>
  </si>
  <si>
    <t>Вентиль регулирующий угловой</t>
  </si>
  <si>
    <t>EU.ST61230</t>
  </si>
  <si>
    <t>Вентиль регулирующий прямой</t>
  </si>
  <si>
    <t>EU.ST61300</t>
  </si>
  <si>
    <t>Вентиль запорный угловой</t>
  </si>
  <si>
    <t>EU.ST61310</t>
  </si>
  <si>
    <t>Вентиль запорный прямой</t>
  </si>
  <si>
    <t>Клапаны радиаторные Euros терморегулирующие</t>
  </si>
  <si>
    <t>• Корпус клапанов выполнен из высокопрочной горячепрессованной латуни CW617N стандарта EN12165.</t>
  </si>
  <si>
    <t>• Регулирование потока теплоносителя может осуществляться:</t>
  </si>
  <si>
    <t xml:space="preserve"> - вручную;</t>
  </si>
  <si>
    <t xml:space="preserve"> - автоматически - при комплектации термостатической головкой EU.ST6136 в зависимости от температуры внутреннего воздуха в помещении.</t>
  </si>
  <si>
    <t>Резьба под термостатическую головку: М30 х 1,5</t>
  </si>
  <si>
    <t>EU.ST61200</t>
  </si>
  <si>
    <t>Клапан терморегулирующий угловой</t>
  </si>
  <si>
    <t>EU.ST61210</t>
  </si>
  <si>
    <t>Клапан терморегулирующий прямой</t>
  </si>
  <si>
    <t>Головки термостатические Euros</t>
  </si>
  <si>
    <t>• Цифры настройки, нанесённые на подвижной части корпуса, соответствуют следующим температурам в помещении:</t>
  </si>
  <si>
    <t>*</t>
  </si>
  <si>
    <t>16⁰С</t>
  </si>
  <si>
    <t>20⁰С</t>
  </si>
  <si>
    <t>24⁰С</t>
  </si>
  <si>
    <t>28⁰С</t>
  </si>
  <si>
    <t>Присоединительный размер: М30 х 1,5</t>
  </si>
  <si>
    <t>EU.ST6136</t>
  </si>
  <si>
    <t>Головка термостатическая Euros</t>
  </si>
  <si>
    <t>• Корпус клапана выполнен из высокопрочной горячепрессованной латуни CW617N стандарта EN12165.</t>
  </si>
  <si>
    <t>EU.ST4001</t>
  </si>
  <si>
    <t>EU.ST40090</t>
  </si>
  <si>
    <t>Макс.рабочая температура: 80⁰С</t>
  </si>
  <si>
    <t>EU.ST6042</t>
  </si>
  <si>
    <t>Редуктор давления поршневой, пружинный</t>
  </si>
  <si>
    <t>EU.ST6134</t>
  </si>
  <si>
    <t>EU.ST6162</t>
  </si>
  <si>
    <t>Комплект для монтажа радиатора, без кронштейнов</t>
  </si>
  <si>
    <t>Цанговые фитинги Euros</t>
  </si>
  <si>
    <t>Цанговые фитинги предназначены для создания разъёмных соединений трубопроводов из металлопластиковых труб (PEX-AL-PEX, PE-AL, PERT-AL).</t>
  </si>
  <si>
    <t>• Корпус фитинга, накидная гайка и разрезное кольцо выполнены из высокопрочной горячепрессованной латуни CW617N стандарта EN12165.</t>
  </si>
  <si>
    <t>• Уплотнительные кольца выполнены из этилен-пропиленового каучука EPDM.</t>
  </si>
  <si>
    <t>• Изоляционная прокладка из тефлона PTFE делает трубопровод электрически нейтральным.</t>
  </si>
  <si>
    <t>Макс. рабочее давление: 25 бар</t>
  </si>
  <si>
    <t>EU.MY6501</t>
  </si>
  <si>
    <t>Cсоединитель обжимной с переходом на наружную резьбу</t>
  </si>
  <si>
    <t>EU.MY6502</t>
  </si>
  <si>
    <t>EU.MY6503</t>
  </si>
  <si>
    <t>Соединитель обжимной</t>
  </si>
  <si>
    <t>EU.MY6509</t>
  </si>
  <si>
    <t>Тройник обжимной</t>
  </si>
  <si>
    <t>EU.MY6508</t>
  </si>
  <si>
    <t>Тройник обжимной с переходом на внутреннюю резьбу</t>
  </si>
  <si>
    <t>EU.MY6507</t>
  </si>
  <si>
    <t>Тройник обжимной с переходом на наружную резьбу</t>
  </si>
  <si>
    <t>EU.MY6510</t>
  </si>
  <si>
    <t>Крестовина обжимная</t>
  </si>
  <si>
    <t>EU.MY6506</t>
  </si>
  <si>
    <t>Угольник обжимной</t>
  </si>
  <si>
    <t>EU.MY6505</t>
  </si>
  <si>
    <t>Угольник обжимной с переходом на внутреннюю резьбу</t>
  </si>
  <si>
    <t>EU.MY6504</t>
  </si>
  <si>
    <t>Угольник обжимной с переходом на наружную резьбу</t>
  </si>
  <si>
    <t>EU.MY6511</t>
  </si>
  <si>
    <t>Водорозетка обжимная</t>
  </si>
  <si>
    <t>Пресс-фитинги Euros</t>
  </si>
  <si>
    <t>• Корпус фитинга выполнен из высокопрочной горячепрессованной латуни CW617N стандарта EN12165.</t>
  </si>
  <si>
    <t>EU.MY6701</t>
  </si>
  <si>
    <t>EU.MY6702</t>
  </si>
  <si>
    <t>EU.MY6703</t>
  </si>
  <si>
    <t>Соединитель пресс</t>
  </si>
  <si>
    <t>Соединитель пресс редукционный</t>
  </si>
  <si>
    <t>EU.MY6709</t>
  </si>
  <si>
    <t>Пресс-тройник</t>
  </si>
  <si>
    <t>EU.MY6708</t>
  </si>
  <si>
    <t>Пресс-тройник с переходом на внутреннюю резьбу</t>
  </si>
  <si>
    <t>EU.MY6707</t>
  </si>
  <si>
    <t>Пресс-тройник с переходом на наружную резьбу</t>
  </si>
  <si>
    <t>32x1"x32</t>
  </si>
  <si>
    <t>EU.MY6706</t>
  </si>
  <si>
    <t>Пресс-угольник</t>
  </si>
  <si>
    <t>EU.MY6705</t>
  </si>
  <si>
    <t>Пресс-угольник с переходом на внутреннюю резьбу</t>
  </si>
  <si>
    <t>EU.MY6704</t>
  </si>
  <si>
    <t>Пресс-угольник с переходом на наружную резьбу</t>
  </si>
  <si>
    <t>EU.MY6710</t>
  </si>
  <si>
    <t>Водорозетка с пресс-соединением</t>
  </si>
  <si>
    <t>Металлопластиковая труба Euros</t>
  </si>
  <si>
    <t>• Алюминиевая фольга сваривается встык.</t>
  </si>
  <si>
    <t>• Степень сшивки полиэтилена PEX - 65%.</t>
  </si>
  <si>
    <t>Рабочее давление: 10 бар</t>
  </si>
  <si>
    <t>Бухта, м</t>
  </si>
  <si>
    <t>Цена, р./м</t>
  </si>
  <si>
    <t>EU.16x2</t>
  </si>
  <si>
    <t>16x2</t>
  </si>
  <si>
    <t>EU.20x2</t>
  </si>
  <si>
    <t>20x2</t>
  </si>
  <si>
    <t>EU.26x3</t>
  </si>
  <si>
    <t>26x3</t>
  </si>
  <si>
    <t>EU.32x3</t>
  </si>
  <si>
    <t>32x3</t>
  </si>
  <si>
    <t>EU.ST3047035 12</t>
  </si>
  <si>
    <t>1/2"</t>
  </si>
  <si>
    <t>EU.ST3047045 34</t>
  </si>
  <si>
    <t>3/4"</t>
  </si>
  <si>
    <t>EU.ST3047055 1</t>
  </si>
  <si>
    <t>1"</t>
  </si>
  <si>
    <t>EU.ST3047145 34x12x34</t>
  </si>
  <si>
    <t>3/4"х1/2х3/4"</t>
  </si>
  <si>
    <t>EU.ST3047215 1x12x1</t>
  </si>
  <si>
    <t>1"х1/2"х1"</t>
  </si>
  <si>
    <t>EU.ST3047165 1x34x1</t>
  </si>
  <si>
    <t>1"х3/4"х1</t>
  </si>
  <si>
    <t>EU.ST3047185 114x34x114</t>
  </si>
  <si>
    <t>1 1/4"3/4"х1 1/4"</t>
  </si>
  <si>
    <t>EU.ST3047195 114x1x114</t>
  </si>
  <si>
    <t>1 1/4"х1"х1 1/4"</t>
  </si>
  <si>
    <t>EU.ST3015035 12</t>
  </si>
  <si>
    <t>EU.ST3015045 34</t>
  </si>
  <si>
    <t>EU.ST3015055 1</t>
  </si>
  <si>
    <t>EU.ST3015065 114</t>
  </si>
  <si>
    <t>1 1/4"</t>
  </si>
  <si>
    <t>EU.ST3012145 34x12</t>
  </si>
  <si>
    <t>3/4"х1/2"</t>
  </si>
  <si>
    <t>EU.ST3012165 1x12</t>
  </si>
  <si>
    <t>1"х1/2"</t>
  </si>
  <si>
    <t>EU.ST3012175 1x34</t>
  </si>
  <si>
    <t>1"х3/4"</t>
  </si>
  <si>
    <t>EU.ST3012185 114x34</t>
  </si>
  <si>
    <t>1 1/4"х3/4"</t>
  </si>
  <si>
    <t>EU.ST3012195 114x1</t>
  </si>
  <si>
    <t>1 1/4"х1"</t>
  </si>
  <si>
    <t>EU.ST3021035 12</t>
  </si>
  <si>
    <t>EU.ST3021045 34</t>
  </si>
  <si>
    <t>EU.ST3021055 1</t>
  </si>
  <si>
    <t>EU.ST3021065 114</t>
  </si>
  <si>
    <t>EU.ST3024035 12</t>
  </si>
  <si>
    <t>EU.ST3024045 34</t>
  </si>
  <si>
    <t>EU.ST3024055 1</t>
  </si>
  <si>
    <t xml:space="preserve">1" </t>
  </si>
  <si>
    <t>EU.ST3031035 12</t>
  </si>
  <si>
    <t>EU.ST3031045 34</t>
  </si>
  <si>
    <t>EU.ST3031055 1</t>
  </si>
  <si>
    <t>EU.ST3038035 12</t>
  </si>
  <si>
    <t>EU.ST3038045 34</t>
  </si>
  <si>
    <t>EU.ST3038055 1</t>
  </si>
  <si>
    <t>EU.ST3265030 12</t>
  </si>
  <si>
    <t>EU.ST3265040 34</t>
  </si>
  <si>
    <t>EU.ST3265050 1</t>
  </si>
  <si>
    <t>EU.ST3046035 12</t>
  </si>
  <si>
    <t>EU.ST3046045 34</t>
  </si>
  <si>
    <t>EU.ST3046055 1</t>
  </si>
  <si>
    <t>EU.ST3046335 114</t>
  </si>
  <si>
    <t>EU.ST3014035 12</t>
  </si>
  <si>
    <t>EU.ST3014045 34</t>
  </si>
  <si>
    <t>EU.ST3014055 1</t>
  </si>
  <si>
    <t>EU.ST3014065 114</t>
  </si>
  <si>
    <t>EU.ST3271015 12х10</t>
  </si>
  <si>
    <t>1/2"x10 mm</t>
  </si>
  <si>
    <t>EU.ST3271025 12х15</t>
  </si>
  <si>
    <t>1/2"x15 mm</t>
  </si>
  <si>
    <t>EU.ST3271035 12х20</t>
  </si>
  <si>
    <t>1/2"x20 mm</t>
  </si>
  <si>
    <t>EU.ST3271055 12х30</t>
  </si>
  <si>
    <t>1/2"x30 mm</t>
  </si>
  <si>
    <t>EU.ST3271075 12х40</t>
  </si>
  <si>
    <t>1/2"x40 mm</t>
  </si>
  <si>
    <t>EU.ST3271095 12х50</t>
  </si>
  <si>
    <t>1/2"x50 mm</t>
  </si>
  <si>
    <t>EU.ST3013155 34х12</t>
  </si>
  <si>
    <t>EU.ST3013165 1х12</t>
  </si>
  <si>
    <t>EU.ST3013175 1х34</t>
  </si>
  <si>
    <t>1 1/2"х1 1/4"</t>
  </si>
  <si>
    <t>EU.ST3018155 34х12</t>
  </si>
  <si>
    <t>EU.ST3018165 1х12</t>
  </si>
  <si>
    <t>EU.ST3018175 1х34</t>
  </si>
  <si>
    <t>EU.ST3018195 114х1</t>
  </si>
  <si>
    <t>EU.ST3019035 12</t>
  </si>
  <si>
    <t>EU.ST3019045 34</t>
  </si>
  <si>
    <t>EU.ST3019055 1</t>
  </si>
  <si>
    <t>EU.ST3017035 12</t>
  </si>
  <si>
    <t>EU.ST3017045 34</t>
  </si>
  <si>
    <t>EU.ST3017055 1</t>
  </si>
  <si>
    <t>EU.ST3050155 34х12</t>
  </si>
  <si>
    <t>EU.ST3050165 1х12</t>
  </si>
  <si>
    <t>EU.ST3050175 1х34</t>
  </si>
  <si>
    <t>EU.ST3050185 114х34</t>
  </si>
  <si>
    <t>EU.ST3050195 114х1</t>
  </si>
  <si>
    <t>EU.ST3076035 12</t>
  </si>
  <si>
    <t>EU.ST3076045 34</t>
  </si>
  <si>
    <t>EU.ST3049035 12</t>
  </si>
  <si>
    <t>EU.ST3051035 12</t>
  </si>
  <si>
    <t xml:space="preserve"> EU.ST3272035 12</t>
  </si>
  <si>
    <t>EU.ST8009030 12х01х20</t>
  </si>
  <si>
    <t>12mm x 0,1mm x 20m</t>
  </si>
  <si>
    <t>EU.ST8009040 19х012х15</t>
  </si>
  <si>
    <t>19mm x 0,12mm x 15m</t>
  </si>
  <si>
    <t>EU.ST1058035 12</t>
  </si>
  <si>
    <t>EU.ST3078125 2х34х12</t>
  </si>
  <si>
    <t>EU.ST3078135 3х34х12</t>
  </si>
  <si>
    <t>EU.ST3078145 4х34х12</t>
  </si>
  <si>
    <t>EU.ST3078275 2х1х12</t>
  </si>
  <si>
    <t>EU.ST3078285 3х1х12</t>
  </si>
  <si>
    <t>EU.ST3078295 4х1х12</t>
  </si>
  <si>
    <t>EU.ST3042125 2х34х12</t>
  </si>
  <si>
    <t>EU.ST3042135 3х34х12</t>
  </si>
  <si>
    <t>EU.ST3042275 2х1х12</t>
  </si>
  <si>
    <t>EU.ST3042285 3х1х12</t>
  </si>
  <si>
    <t>EU.ST3273035 16х2х12</t>
  </si>
  <si>
    <t>Ø16x2 - 1/2"</t>
  </si>
  <si>
    <t>EU.ST1282030 12</t>
  </si>
  <si>
    <t>EU.ST1282040 34</t>
  </si>
  <si>
    <t>EU.ST1282050 1</t>
  </si>
  <si>
    <t>EU.ST1282060 114</t>
  </si>
  <si>
    <t>EU.ST1282070 112</t>
  </si>
  <si>
    <t>1 1/2"</t>
  </si>
  <si>
    <t>EU.ST1282080 2</t>
  </si>
  <si>
    <t>2"</t>
  </si>
  <si>
    <t>EU.ST1283030 12</t>
  </si>
  <si>
    <t>EU.ST1283040 34</t>
  </si>
  <si>
    <t>EU.ST1283050 1</t>
  </si>
  <si>
    <t>EU.ST1283060 114</t>
  </si>
  <si>
    <t>EU.ST1283070 112</t>
  </si>
  <si>
    <t>EU.ST1283080 2</t>
  </si>
  <si>
    <t>EU.ST1284030 12</t>
  </si>
  <si>
    <t>EU.ST1284040 34</t>
  </si>
  <si>
    <t>EU.ST1284050 1</t>
  </si>
  <si>
    <t>EU.ST1285030 12</t>
  </si>
  <si>
    <t>EU.ST1285040 34</t>
  </si>
  <si>
    <t>EU.ST1285050 1</t>
  </si>
  <si>
    <t>EU.ST1286030 12</t>
  </si>
  <si>
    <t>EU.ST1286040 34</t>
  </si>
  <si>
    <t>EU.ST1286050 1</t>
  </si>
  <si>
    <t>EU.ST1287030 12</t>
  </si>
  <si>
    <t>EU.ST1287040 34</t>
  </si>
  <si>
    <t>EU.ST1287050 1</t>
  </si>
  <si>
    <t>EU.ST1288030 12</t>
  </si>
  <si>
    <t>EU.ST1288040 34</t>
  </si>
  <si>
    <t>EU.ST1288050 1</t>
  </si>
  <si>
    <t>EU.ST1085035 12</t>
  </si>
  <si>
    <t>EU.ST1085045 34</t>
  </si>
  <si>
    <t>EU.ST1086035 12</t>
  </si>
  <si>
    <t>EU.ST1016032 12</t>
  </si>
  <si>
    <t>EU.ST1016042 34</t>
  </si>
  <si>
    <t>EU.ST1016052 1</t>
  </si>
  <si>
    <t>EU.ST2075030 12</t>
  </si>
  <si>
    <t>EU.ST2075040 34</t>
  </si>
  <si>
    <t>EU.ST1089030 12</t>
  </si>
  <si>
    <t>EU.ST1034035 12</t>
  </si>
  <si>
    <t>EU.ST5055030 12x12</t>
  </si>
  <si>
    <t>1/2"x1/2"</t>
  </si>
  <si>
    <t>EU.ST5055040 12x34</t>
  </si>
  <si>
    <t>1/2"x3/4"</t>
  </si>
  <si>
    <t>EU.ST5014235 12x34х12</t>
  </si>
  <si>
    <t>1/2"x3/4"x1/2"</t>
  </si>
  <si>
    <t>EU.ST6122030 12</t>
  </si>
  <si>
    <t>EU.ST6122040 34</t>
  </si>
  <si>
    <t>EU.ST6123030 12</t>
  </si>
  <si>
    <t>EU.ST6123040 34</t>
  </si>
  <si>
    <t>EU.ST6130030 12</t>
  </si>
  <si>
    <t>EU.ST6130040 34</t>
  </si>
  <si>
    <t>EU.ST6131030 12</t>
  </si>
  <si>
    <t>EU.ST6131040 34</t>
  </si>
  <si>
    <t>EU.ST6120030 12</t>
  </si>
  <si>
    <t>EU.ST6120040 34</t>
  </si>
  <si>
    <t>EU.ST6121030 12</t>
  </si>
  <si>
    <t>EU.ST6121040 34</t>
  </si>
  <si>
    <t>EU.ST6136 М30x1.5</t>
  </si>
  <si>
    <t>M30x1,5</t>
  </si>
  <si>
    <t>EU.ST4001036 12</t>
  </si>
  <si>
    <t>EU.ST4001046 34</t>
  </si>
  <si>
    <t>EU.ST4001056 1</t>
  </si>
  <si>
    <t>EU.ST4001066 114</t>
  </si>
  <si>
    <t>EU.ST4001076 112</t>
  </si>
  <si>
    <t>EU.ST4001086 2</t>
  </si>
  <si>
    <t>EU.ST4009037 12</t>
  </si>
  <si>
    <t>EU.ST4009047 34</t>
  </si>
  <si>
    <t>EU.ST4009057 1</t>
  </si>
  <si>
    <t>EU.ST4009067 114</t>
  </si>
  <si>
    <t>EU.ST4009077 112</t>
  </si>
  <si>
    <t>EU.ST4009087 2</t>
  </si>
  <si>
    <t>EU.ST6042031 12</t>
  </si>
  <si>
    <t>EU.ST6042041 34</t>
  </si>
  <si>
    <t>EU.ST6134030 12</t>
  </si>
  <si>
    <t>EU.ST6134040 34</t>
  </si>
  <si>
    <t>EU.ST6162030 12</t>
  </si>
  <si>
    <t>EU.ST6162040 34</t>
  </si>
  <si>
    <t>EU.MY6501 16x12</t>
  </si>
  <si>
    <t>16x1/2"</t>
  </si>
  <si>
    <t>EU.MY6501 16x34</t>
  </si>
  <si>
    <t>16x3/4"</t>
  </si>
  <si>
    <t>EU.MY6501 20x12</t>
  </si>
  <si>
    <t>20x1/2"</t>
  </si>
  <si>
    <t>EU.MY6501 20x34</t>
  </si>
  <si>
    <t>20x3/4"</t>
  </si>
  <si>
    <t>EU.MY6501 26x34</t>
  </si>
  <si>
    <t>26x3/4"</t>
  </si>
  <si>
    <t>EU.MY6501 26x1</t>
  </si>
  <si>
    <t>26x1"</t>
  </si>
  <si>
    <t>EU.MY6501 32x1</t>
  </si>
  <si>
    <t>32x1"</t>
  </si>
  <si>
    <t>EU.MY6502 16x12</t>
  </si>
  <si>
    <t>EU.MY6502 16x34</t>
  </si>
  <si>
    <t>EU.MY6502 20x12</t>
  </si>
  <si>
    <t>EU.MY6502 20x34</t>
  </si>
  <si>
    <t>EU.MY6502 26x34</t>
  </si>
  <si>
    <t>EU.MY6502 26x1</t>
  </si>
  <si>
    <t>EU.MY6502 32х1</t>
  </si>
  <si>
    <t>EU.MY6503 16</t>
  </si>
  <si>
    <t>EU.MY6503 20</t>
  </si>
  <si>
    <t>EU.MY6503 26</t>
  </si>
  <si>
    <t>EU.MY6503 32</t>
  </si>
  <si>
    <t>EU.MY6503 20x16</t>
  </si>
  <si>
    <t>20x16</t>
  </si>
  <si>
    <t>EU.MY6503 26х16</t>
  </si>
  <si>
    <t>26x16</t>
  </si>
  <si>
    <t>EU.MY6503 26x20</t>
  </si>
  <si>
    <t>26x20</t>
  </si>
  <si>
    <t>EU.MY6509 16</t>
  </si>
  <si>
    <t>EU.MY6509 20</t>
  </si>
  <si>
    <t>EU.MY6509 26</t>
  </si>
  <si>
    <t>EU.MY6509 32</t>
  </si>
  <si>
    <t>EU.MY6509 20x16x20</t>
  </si>
  <si>
    <t>20x16x20</t>
  </si>
  <si>
    <t>26x16x26</t>
  </si>
  <si>
    <t>EU.MY6509 26x20x26</t>
  </si>
  <si>
    <t>26x20x26</t>
  </si>
  <si>
    <t>EU.MY6509 32x16x32</t>
  </si>
  <si>
    <t>32x16x32</t>
  </si>
  <si>
    <t>EU.MY6509 32x20x32</t>
  </si>
  <si>
    <t>32x20x32</t>
  </si>
  <si>
    <t>EU.MY6509 32x26x32</t>
  </si>
  <si>
    <t>32x26x32</t>
  </si>
  <si>
    <t>EU.MY6509 16x20x16</t>
  </si>
  <si>
    <t>16x20x16</t>
  </si>
  <si>
    <t>EU.MY6509 20x16x16</t>
  </si>
  <si>
    <t>20x16x16</t>
  </si>
  <si>
    <t>EU.MY6509 20x20x16</t>
  </si>
  <si>
    <t>20x20x16</t>
  </si>
  <si>
    <t>EU.MY6508 16x12x16</t>
  </si>
  <si>
    <t>EU.MY6508 16x34x16</t>
  </si>
  <si>
    <t>EU.MY6508 20x12x20</t>
  </si>
  <si>
    <t>EU.MY6508 20x34x20</t>
  </si>
  <si>
    <t>EU.MY6508 26x34x26</t>
  </si>
  <si>
    <t>EU.MY6508 26x1x26</t>
  </si>
  <si>
    <t>EU.MY6508 32x1x32</t>
  </si>
  <si>
    <t>EU.MY6507 16x12x16</t>
  </si>
  <si>
    <t>EU.MY6507 20x12x20</t>
  </si>
  <si>
    <t>EU.MY6507 32x1x32</t>
  </si>
  <si>
    <t>EU.MY6510 16</t>
  </si>
  <si>
    <t>EU.MY6506 16</t>
  </si>
  <si>
    <t>EU.MY6506 20</t>
  </si>
  <si>
    <t>EU.MY6506 26</t>
  </si>
  <si>
    <t>EU.MY6506 32</t>
  </si>
  <si>
    <t>EU.MY6505 16x12</t>
  </si>
  <si>
    <t>EU.MY6505 16x34</t>
  </si>
  <si>
    <t>EU.MY6505 20x12</t>
  </si>
  <si>
    <t>EU.MY6505 20x34</t>
  </si>
  <si>
    <t>EU.MY6505 26x34</t>
  </si>
  <si>
    <t>EU.MY6505 26x1</t>
  </si>
  <si>
    <t>EU.MY6505 32x1</t>
  </si>
  <si>
    <t>EU.MY6504 16x12</t>
  </si>
  <si>
    <t>EU.MY6504 16x34</t>
  </si>
  <si>
    <t>EU.MY6504 20x12</t>
  </si>
  <si>
    <t>EU.MY6504 20x34</t>
  </si>
  <si>
    <t>EU.MY6504 26x34</t>
  </si>
  <si>
    <t>EU.MY6504 26x1</t>
  </si>
  <si>
    <t>EU.MY6504 32x1</t>
  </si>
  <si>
    <t>EU.MY6511 16x12</t>
  </si>
  <si>
    <t>EU.MY6511 20x12</t>
  </si>
  <si>
    <t>EU.MY6701 16x12</t>
  </si>
  <si>
    <t>EU.MY6701 16x34</t>
  </si>
  <si>
    <t>EU.MY6701 20x12</t>
  </si>
  <si>
    <t>EU.MY6701 20x34</t>
  </si>
  <si>
    <t>EU.MY6701 26x34</t>
  </si>
  <si>
    <t>EU.MY6701 26x1</t>
  </si>
  <si>
    <t>EU.MY6701 32x1</t>
  </si>
  <si>
    <t>EU.MY6702 16x12</t>
  </si>
  <si>
    <t>EU.MY6702 16x34</t>
  </si>
  <si>
    <t>EU.MY6702 20x12</t>
  </si>
  <si>
    <t>EU.MY6702 20x34</t>
  </si>
  <si>
    <t>EU.MY6702 26x34</t>
  </si>
  <si>
    <t>EU.MY6702 26x1</t>
  </si>
  <si>
    <t>EU.MY6702 32x1</t>
  </si>
  <si>
    <t>EU.MY6703 16</t>
  </si>
  <si>
    <t>EU.MY6703 20</t>
  </si>
  <si>
    <t>EU.MY6703 26</t>
  </si>
  <si>
    <t>EU.MY6703 32</t>
  </si>
  <si>
    <t>EU.MY6703 20x16</t>
  </si>
  <si>
    <t>EU.MY6703 26x16</t>
  </si>
  <si>
    <t>EU.MY6703 26x20</t>
  </si>
  <si>
    <t>EU.MY6703 32x26</t>
  </si>
  <si>
    <t>32x26</t>
  </si>
  <si>
    <t>EU.MY6709 16</t>
  </si>
  <si>
    <t>EU.MY6709 20</t>
  </si>
  <si>
    <t>EU.MY6709 26</t>
  </si>
  <si>
    <t>EU.MY6709 32</t>
  </si>
  <si>
    <t>EU.MY6709 20x16x20</t>
  </si>
  <si>
    <t>EU.MY6709 26x16x26</t>
  </si>
  <si>
    <t>EU.MY6709 26x20x26</t>
  </si>
  <si>
    <t>EU.MY6709 32x20x32</t>
  </si>
  <si>
    <t>EU.MY6709 32x26x32</t>
  </si>
  <si>
    <t>EU.MY6709 16x20x16</t>
  </si>
  <si>
    <t>EU.MY6709 20x26x20</t>
  </si>
  <si>
    <t>20x26x20</t>
  </si>
  <si>
    <t>EU.MY6709 26x32x26</t>
  </si>
  <si>
    <t>26x32x26</t>
  </si>
  <si>
    <t>EU.MY6709 20x16x16</t>
  </si>
  <si>
    <t>EU.MY6709 20x20x16</t>
  </si>
  <si>
    <t>EU.MY6709 26x16x20</t>
  </si>
  <si>
    <t>26x16x20</t>
  </si>
  <si>
    <t>EU.MY6709 26x20x16</t>
  </si>
  <si>
    <t>26x20x16</t>
  </si>
  <si>
    <t>EU.MY6709 26x20x20</t>
  </si>
  <si>
    <t>26x20x20</t>
  </si>
  <si>
    <t>EU.MY6709 26x26x20</t>
  </si>
  <si>
    <t>26x26x20</t>
  </si>
  <si>
    <t>EU.MY6709 32x26x26</t>
  </si>
  <si>
    <t>32x26x26</t>
  </si>
  <si>
    <t>EU.MY6708 16x12x16</t>
  </si>
  <si>
    <t>16x1/2"x16</t>
  </si>
  <si>
    <t>EU.MY6708 20x12x20</t>
  </si>
  <si>
    <t>20x1/2"x20</t>
  </si>
  <si>
    <t>EU.MY6708 20x34x20</t>
  </si>
  <si>
    <t>20x3/4"x20</t>
  </si>
  <si>
    <t>EU.MY6708 26x34x26</t>
  </si>
  <si>
    <t>26x3/4"x26</t>
  </si>
  <si>
    <t>EU.MY6708 32x1x32</t>
  </si>
  <si>
    <t>EU.MY6707 16x12x16</t>
  </si>
  <si>
    <t>EU.MY6707 20x12x20</t>
  </si>
  <si>
    <t>EU.MY6707 20x34x20</t>
  </si>
  <si>
    <t>EU.MY6707 26x34x26</t>
  </si>
  <si>
    <t>EU.MY6707 32x1x32</t>
  </si>
  <si>
    <t>EU.MY6706 16</t>
  </si>
  <si>
    <t>EU.MY6706 20</t>
  </si>
  <si>
    <t>EU.MY6706 26</t>
  </si>
  <si>
    <t>EU.MY6706 32</t>
  </si>
  <si>
    <t>EU.MY6705 16x12</t>
  </si>
  <si>
    <t>EU.MY6705 16x34</t>
  </si>
  <si>
    <t>EU.MY6705 20x12</t>
  </si>
  <si>
    <t>EU.MY6705 20x34</t>
  </si>
  <si>
    <t>EU.MY6705 26x34</t>
  </si>
  <si>
    <t>EU.MY6705 32x1</t>
  </si>
  <si>
    <t>EU.MY6704 16x12</t>
  </si>
  <si>
    <t>EU.MY6704 20x12</t>
  </si>
  <si>
    <t>EU.MY6704 20x34</t>
  </si>
  <si>
    <t>EU.MY6704 26x34</t>
  </si>
  <si>
    <t>EU.MY6704 26x1</t>
  </si>
  <si>
    <t>EU.MY6704 32x1</t>
  </si>
  <si>
    <t>EU.MY6710 16x12</t>
  </si>
  <si>
    <t>EU.MY6710 20x12</t>
  </si>
  <si>
    <t>Муфта разъёмная с накидной гайкой</t>
  </si>
  <si>
    <t>EU.ST32720</t>
  </si>
  <si>
    <t>EU.ST1284</t>
  </si>
  <si>
    <t>EU.MY6509 26х16х26</t>
  </si>
  <si>
    <t>EU.ST3013195 114х1</t>
  </si>
  <si>
    <t>EU.ST3013335 112х114</t>
  </si>
  <si>
    <t>EU.ST3038075 112</t>
  </si>
  <si>
    <t>EU.MY6507 16x34x16</t>
  </si>
  <si>
    <t>EU.MY6507 26x34x26</t>
  </si>
  <si>
    <t>EU.MY6703 32x16</t>
  </si>
  <si>
    <t>EU.MY6703 32x20</t>
  </si>
  <si>
    <t>32x16</t>
  </si>
  <si>
    <t>32x20</t>
  </si>
  <si>
    <t>EU.MY6708 26x12x26</t>
  </si>
  <si>
    <t>26x1/2"x26</t>
  </si>
  <si>
    <t>EU.MY6708 26x1x26</t>
  </si>
  <si>
    <t>26x1"x26</t>
  </si>
  <si>
    <t>EU.MY6707 26x12x26</t>
  </si>
  <si>
    <t>EU.MY6707 26x1x26</t>
  </si>
  <si>
    <t>EU.MY6705 26x1</t>
  </si>
  <si>
    <t>EU.MY6704 16x34</t>
  </si>
  <si>
    <t>Соединитель обжимной с переходом на внутреннюю резьбу</t>
  </si>
  <si>
    <t>Резьбовые фитинги предназначены для создания разъёмных соединений стальных трубопроводов, трубопроводной арматуры, оборудования и приборов имеющих муфтовые соединительные патрубки с трубной цилиндрической резьбой.</t>
  </si>
  <si>
    <t>Запорные вентили предназначены для монтажной настройки расхода (гидравлической балансировки) с последующим ограничением доступа к штоку путём установки защитного колпачка.</t>
  </si>
  <si>
    <t>Термостатические клапаны предназначены для автоматического или ручного регулирования расхода теплоносителя через отопительный прибор водяной системы отопления.</t>
  </si>
  <si>
    <t>• Пресс гильзы выполнены из нержавеющей стали AISI304 с содержанием серы не более 0,004%, что повышает их коррозионную стойкость и сохраняет достаточную пластичность для опрессовки ручными пресс-клещами</t>
  </si>
  <si>
    <t>Пресс фитинги предназначены для создания неразъёмных соединений трубопроводов их из металлопластиковых труб (PEX-AL-PEX, PE-AL, PERT-AL). Допускается замоноличивание пресс фитингов в строительные конструкции.</t>
  </si>
  <si>
    <t>Кран шаровой Comfort (ручка - усиленный рычаг)</t>
  </si>
  <si>
    <t>EU.SD8001012 12</t>
  </si>
  <si>
    <t>EU.SD8001034 34</t>
  </si>
  <si>
    <t>EU.SD8001100 1</t>
  </si>
  <si>
    <t>EU.SD8001</t>
  </si>
  <si>
    <t>EU.SD8002</t>
  </si>
  <si>
    <t>EU.SD8002012 12</t>
  </si>
  <si>
    <t>EU.SD8002034 34</t>
  </si>
  <si>
    <t>EU.SD8002100 1</t>
  </si>
  <si>
    <t>EU.SD8003</t>
  </si>
  <si>
    <t>Кран шаровой Comfort (ручка - бабочка)</t>
  </si>
  <si>
    <t>EU.SD8003012 12</t>
  </si>
  <si>
    <t>EU.SD8003034 34</t>
  </si>
  <si>
    <t>EU.SD8003100 1</t>
  </si>
  <si>
    <t>EU.SD8004</t>
  </si>
  <si>
    <t>EU.SD8004012 12</t>
  </si>
  <si>
    <t>EU.ST6154030 12</t>
  </si>
  <si>
    <t>EU.ST6154040 34</t>
  </si>
  <si>
    <t>Кронштейны для радиаторов с дюбелем</t>
  </si>
  <si>
    <t>EU.ST6252030 170х9</t>
  </si>
  <si>
    <t>170mm х 9mm</t>
  </si>
  <si>
    <t>EU.ST6252040</t>
  </si>
  <si>
    <t>95 х 50 х 40</t>
  </si>
  <si>
    <t>EU.ST6253301 12</t>
  </si>
  <si>
    <t>Воздухоотводчик ручной (Кран Маевского) 1/2"</t>
  </si>
  <si>
    <t>EU.ST6253311 12</t>
  </si>
  <si>
    <t>EU.ST6253305</t>
  </si>
  <si>
    <t>Прокладка паронитовая межсекционная</t>
  </si>
  <si>
    <t>EU.ST6253306</t>
  </si>
  <si>
    <t>EU.ST6254040</t>
  </si>
  <si>
    <t>EU.ST6254050</t>
  </si>
  <si>
    <r>
      <t>Диапазон температур: -10</t>
    </r>
    <r>
      <rPr>
        <sz val="10"/>
        <rFont val="Calibri"/>
        <family val="2"/>
        <charset val="204"/>
      </rPr>
      <t>⁰C +90⁰C</t>
    </r>
  </si>
  <si>
    <t>Коллектор с отсекающими шаровыми кранами (2, 3 выхода)</t>
  </si>
  <si>
    <r>
      <t>Макс. рабочая температура: 120</t>
    </r>
    <r>
      <rPr>
        <sz val="9"/>
        <rFont val="Calibri"/>
        <family val="2"/>
        <charset val="204"/>
      </rPr>
      <t>⁰C</t>
    </r>
  </si>
  <si>
    <r>
      <t>Макс. рабочая температура: 110</t>
    </r>
    <r>
      <rPr>
        <sz val="10"/>
        <rFont val="Calibri"/>
        <family val="2"/>
        <charset val="204"/>
      </rPr>
      <t>⁰C</t>
    </r>
  </si>
  <si>
    <r>
      <t>6</t>
    </r>
    <r>
      <rPr>
        <sz val="10"/>
        <rFont val="Calibri"/>
        <family val="2"/>
        <charset val="204"/>
      </rPr>
      <t>⁰С</t>
    </r>
  </si>
  <si>
    <r>
      <t>Макс. рабочая температура: 100</t>
    </r>
    <r>
      <rPr>
        <sz val="10"/>
        <rFont val="Calibri"/>
        <family val="2"/>
        <charset val="204"/>
      </rPr>
      <t>⁰C</t>
    </r>
  </si>
  <si>
    <r>
      <t>Макс. рабочая температура: 115</t>
    </r>
    <r>
      <rPr>
        <sz val="10"/>
        <rFont val="Calibri"/>
        <family val="2"/>
        <charset val="204"/>
      </rPr>
      <t>⁰C</t>
    </r>
  </si>
  <si>
    <r>
      <t>Максимальная рабочая температура: 95</t>
    </r>
    <r>
      <rPr>
        <sz val="10"/>
        <rFont val="Calibri"/>
        <family val="2"/>
        <charset val="204"/>
      </rPr>
      <t>⁰С</t>
    </r>
  </si>
  <si>
    <r>
      <t>сжатого воздуха, масла и жидких углеводородов при температуре транспортируемой среды до 150</t>
    </r>
    <r>
      <rPr>
        <sz val="9"/>
        <rFont val="Calibri"/>
        <family val="2"/>
        <charset val="204"/>
      </rPr>
      <t>⁰С.</t>
    </r>
  </si>
  <si>
    <t>Термостатические головки предназначены для автоматического регулирования расхода теплоносителя через отопительный прибор в зависимости от температуры воздуха в помещении. Термостатическая головка устанавливается на терморегулирующий радиаторный клапан. Использование терморегулирующих клапанов с термостатическими головками позволяет автоматически поддерживать температуру воздуха в помещениях на заданном уровне, с точностью до 1⁰С.</t>
  </si>
  <si>
    <t xml:space="preserve">Макс. рабочее давление: 16 бар </t>
  </si>
  <si>
    <t>EU.ST4108070 112</t>
  </si>
  <si>
    <t>EU.ST41080</t>
  </si>
  <si>
    <t>• Корпус коллектров выполнен из высокопрочной горячепрессованной латуни CW617N соответствует европейскому стандарту EN12165.</t>
  </si>
  <si>
    <t>EU.ST3092</t>
  </si>
  <si>
    <t>EU.ST3078</t>
  </si>
  <si>
    <t>EU.ST3042</t>
  </si>
  <si>
    <t xml:space="preserve">EU.ST3092340 </t>
  </si>
  <si>
    <t xml:space="preserve">EU.ST3092440 </t>
  </si>
  <si>
    <t>EU.ST3092540</t>
  </si>
  <si>
    <t xml:space="preserve">EU.ST3092640 </t>
  </si>
  <si>
    <t xml:space="preserve">EU.ST3092740 </t>
  </si>
  <si>
    <t xml:space="preserve">EU.ST3092840 </t>
  </si>
  <si>
    <t xml:space="preserve">EU.ST3092350 </t>
  </si>
  <si>
    <t xml:space="preserve">EU.ST3092450 </t>
  </si>
  <si>
    <t xml:space="preserve">EU.ST3092550 </t>
  </si>
  <si>
    <t xml:space="preserve">EU.ST3092650 </t>
  </si>
  <si>
    <t xml:space="preserve">EU.ST3092750 </t>
  </si>
  <si>
    <t xml:space="preserve">EU.ST3092850 </t>
  </si>
  <si>
    <t xml:space="preserve">EU.ST3092360 </t>
  </si>
  <si>
    <t xml:space="preserve">EU.ST3092460 </t>
  </si>
  <si>
    <t xml:space="preserve">EU.ST3092560 </t>
  </si>
  <si>
    <t xml:space="preserve">EU.ST3092660 </t>
  </si>
  <si>
    <t xml:space="preserve">EU.ST3092760 </t>
  </si>
  <si>
    <t xml:space="preserve">EU.ST3092860 </t>
  </si>
  <si>
    <t xml:space="preserve"> 3/4" х 1/2" х 3</t>
  </si>
  <si>
    <t xml:space="preserve"> 3/4" х 1/2" х 4</t>
  </si>
  <si>
    <t xml:space="preserve"> 3/4" х 1/2" х 5</t>
  </si>
  <si>
    <t xml:space="preserve"> 3/4" х 1/2" х 6</t>
  </si>
  <si>
    <t>3/4" х 1/2" х 7</t>
  </si>
  <si>
    <t xml:space="preserve"> 3/4" х 1/2" х 8</t>
  </si>
  <si>
    <t>1" х 1/2" х 3</t>
  </si>
  <si>
    <t xml:space="preserve"> 1" х 1/2" х 4</t>
  </si>
  <si>
    <t xml:space="preserve"> 1" х 1/2" х 5</t>
  </si>
  <si>
    <t xml:space="preserve"> 1" х 1/2" х 6</t>
  </si>
  <si>
    <t xml:space="preserve"> 1" х 1/2" х 7</t>
  </si>
  <si>
    <t xml:space="preserve"> 1" х 1/2" х 8</t>
  </si>
  <si>
    <t xml:space="preserve"> 1 1/4" х 1/2" х 3</t>
  </si>
  <si>
    <t xml:space="preserve"> 1 1/4" х 1/2" х 4</t>
  </si>
  <si>
    <t xml:space="preserve"> 1 1/4" х 1/2" х 5</t>
  </si>
  <si>
    <t xml:space="preserve"> 1 1/4" х 1/2" х 6</t>
  </si>
  <si>
    <t xml:space="preserve"> 1 1/4" х 1/2" х 7</t>
  </si>
  <si>
    <t xml:space="preserve"> 1 1/4" х 1/2" х 8</t>
  </si>
  <si>
    <t>EU.ST6079</t>
  </si>
  <si>
    <t xml:space="preserve">EU.ST6079350 </t>
  </si>
  <si>
    <t>EU.ST6081</t>
  </si>
  <si>
    <t xml:space="preserve">EU.ST6081451 </t>
  </si>
  <si>
    <t xml:space="preserve">EU.ST6081551 </t>
  </si>
  <si>
    <t xml:space="preserve">EU.ST6081651 </t>
  </si>
  <si>
    <t xml:space="preserve">EU.ST6081751 </t>
  </si>
  <si>
    <t xml:space="preserve">EU.ST6081851 </t>
  </si>
  <si>
    <t>EU.ST 6043</t>
  </si>
  <si>
    <t>EU.ST 6044</t>
  </si>
  <si>
    <t>EU.ST 6043050 1</t>
  </si>
  <si>
    <t xml:space="preserve">EU.ST3093230 </t>
  </si>
  <si>
    <t xml:space="preserve">EU.ST3093240 </t>
  </si>
  <si>
    <t>1"</t>
    <phoneticPr fontId="4" type="noConversion"/>
  </si>
  <si>
    <t>3/4"х1/2"х1/2"</t>
  </si>
  <si>
    <t xml:space="preserve"> 1" х1/2"х1/2"</t>
  </si>
  <si>
    <t>EU.ST6045050 1</t>
  </si>
  <si>
    <t>EU.ST 6045</t>
  </si>
  <si>
    <t>EU.ST 3093</t>
  </si>
  <si>
    <t>Тройник коллекторный для монтажа дренажного клапана и воздухоотводчика</t>
  </si>
  <si>
    <t>Тройник коллекторный с дренажным клапаном и воздухоотводчиком в сборе</t>
  </si>
  <si>
    <r>
      <t>Кран шаровый  латунный коллекторный с  термометром (диапазон 0-80 ⁰С, D=40 мм)</t>
    </r>
    <r>
      <rPr>
        <b/>
        <sz val="10"/>
        <rFont val="Calibri"/>
        <family val="2"/>
        <charset val="204"/>
      </rPr>
      <t>, проходной</t>
    </r>
  </si>
  <si>
    <t>Кран шаровый  латунный коллекторный с  термометром (диапазон 0-80 ⁰С, D=40 мм), угловой</t>
  </si>
  <si>
    <t>Пластиковый ключ  накидной для  радиаторных пробок</t>
  </si>
  <si>
    <t>Ключ секционный для сборки/разборки радиаторов</t>
  </si>
  <si>
    <t>Заглушка для пробок  радиатора</t>
  </si>
  <si>
    <t>Ниппель межсекционный радиаторный</t>
  </si>
  <si>
    <t>Воздухоотводчик может быть установлен на трубопроводах, транспортирующих жидкости неагрессивные к материалам воздухоотводчика (вода, пропиленгликоль, этиленгликоль и др.)</t>
  </si>
  <si>
    <t>• Корпус воздухоотводчика выполнен из высокопрочной горячепрессованной латуни CW617N стандарта EN12165.</t>
  </si>
  <si>
    <t>EU.ST6022</t>
  </si>
  <si>
    <t>наружная резьба</t>
  </si>
  <si>
    <t>EU.ST6022032 12</t>
  </si>
  <si>
    <t>Предохранительный пружинный клапан Euros с фиксированной настройкой</t>
  </si>
  <si>
    <t xml:space="preserve">Предохранительный клапан предназначен для сброса избыточного давления рабочей среды в отводящий трубопровод или атмосферу на  водогрейных котлах, </t>
  </si>
  <si>
    <t>EU.ST6186</t>
  </si>
  <si>
    <t>Предохранительный клапан Euros</t>
  </si>
  <si>
    <t>EU.ST6186030 12</t>
  </si>
  <si>
    <t>1/2"-1,5bar</t>
  </si>
  <si>
    <t>EU.ST6186031 12</t>
  </si>
  <si>
    <t>1/2"-3bar</t>
  </si>
  <si>
    <t>EU.ST6186032 12</t>
  </si>
  <si>
    <t>1/2"-6bar</t>
  </si>
  <si>
    <t>EU.ST6070</t>
  </si>
  <si>
    <t>Предохранительная  арматура Euros</t>
  </si>
  <si>
    <t>Воздухоотводчик предназначен для автоматического удаления воздуха и иных газов из систем водяного отопления, холодногои горячего водоснабжения.</t>
  </si>
  <si>
    <t xml:space="preserve"> 1 1/4"</t>
    <phoneticPr fontId="4" type="noConversion"/>
  </si>
  <si>
    <t xml:space="preserve"> 1 1/2"</t>
    <phoneticPr fontId="4" type="noConversion"/>
  </si>
  <si>
    <t xml:space="preserve"> 2"</t>
    <phoneticPr fontId="4" type="noConversion"/>
  </si>
  <si>
    <t>1 1/4"х1/2"</t>
  </si>
  <si>
    <t>Внутренняя-наружняя резьба</t>
  </si>
  <si>
    <t>2 "</t>
  </si>
  <si>
    <t>EU.ST3038065 114</t>
  </si>
  <si>
    <t>2"</t>
    <phoneticPr fontId="4" type="noConversion"/>
  </si>
  <si>
    <t>EU.ST3033</t>
  </si>
  <si>
    <t>Крестовина</t>
  </si>
  <si>
    <t>EU.ST3013135 12x38</t>
  </si>
  <si>
    <t xml:space="preserve"> 1/2" х 3/8"</t>
    <phoneticPr fontId="4" type="noConversion"/>
  </si>
  <si>
    <t>Эксцентрик смесителя с декоративной чашечкой</t>
  </si>
  <si>
    <t>EU.ST3094</t>
  </si>
  <si>
    <t>Контргайка без риборды</t>
  </si>
  <si>
    <t xml:space="preserve"> 1/2"</t>
    <phoneticPr fontId="4" type="noConversion"/>
  </si>
  <si>
    <t>3/4"</t>
    <phoneticPr fontId="4" type="noConversion"/>
  </si>
  <si>
    <t>1 1/4"</t>
    <phoneticPr fontId="4" type="noConversion"/>
  </si>
  <si>
    <t>EU.ST30220</t>
  </si>
  <si>
    <t>EU.ST3037</t>
  </si>
  <si>
    <t xml:space="preserve"> 1/2" х 60</t>
    <phoneticPr fontId="4" type="noConversion"/>
  </si>
  <si>
    <t>1/2" х 80</t>
    <phoneticPr fontId="4" type="noConversion"/>
  </si>
  <si>
    <t>1/2" х 100</t>
    <phoneticPr fontId="4" type="noConversion"/>
  </si>
  <si>
    <t xml:space="preserve"> 1/2" х 150</t>
    <phoneticPr fontId="4" type="noConversion"/>
  </si>
  <si>
    <t xml:space="preserve"> 1/2" х 250</t>
    <phoneticPr fontId="4" type="noConversion"/>
  </si>
  <si>
    <t>EU.ST3037150 12x150</t>
  </si>
  <si>
    <t>Бочонок латунный хромированный</t>
  </si>
  <si>
    <t>1/2" х 150</t>
    <phoneticPr fontId="4" type="noConversion"/>
  </si>
  <si>
    <t xml:space="preserve"> 1/2" х 200</t>
    <phoneticPr fontId="4" type="noConversion"/>
  </si>
  <si>
    <t>1/2" х 250</t>
    <phoneticPr fontId="4" type="noConversion"/>
  </si>
  <si>
    <t>EU.ST3095</t>
  </si>
  <si>
    <t>Штуцер для присоединения шланга никилерованный</t>
  </si>
  <si>
    <t>EU.ST3026</t>
  </si>
  <si>
    <t>Тройник с  тремя переходами на наружную резьбой</t>
  </si>
  <si>
    <t>Сгон прямой с накидной гайкой с наружней резьбой</t>
  </si>
  <si>
    <t>Наружняя-наружная резьба</t>
  </si>
  <si>
    <t>EU.ST3059</t>
  </si>
  <si>
    <t>EU.SD8004034 34</t>
  </si>
  <si>
    <t>EU.SD8004100 1</t>
  </si>
  <si>
    <t>Фильтры механической очистки Euros</t>
  </si>
  <si>
    <t>EU.ST4082</t>
  </si>
  <si>
    <t>EU.ST4022</t>
  </si>
  <si>
    <t>EU.ST4023</t>
  </si>
  <si>
    <t>EU.ST6026035 12</t>
  </si>
  <si>
    <t>EU.ST6026</t>
  </si>
  <si>
    <t>Макс. рабочая температура: 110 ⁰C</t>
  </si>
  <si>
    <t>Комплекты Euros для монтажа радиаторов</t>
  </si>
  <si>
    <t>Комплектующие Euros для монтажа радиаторов</t>
  </si>
  <si>
    <t>Вес бухты, кг</t>
  </si>
  <si>
    <t>Cоединитель пресс с переходом на наружную резьбу</t>
  </si>
  <si>
    <t>Cоединитель пресс с переходом на внутреннюю резьбу</t>
  </si>
  <si>
    <t>EU.ST6154</t>
  </si>
  <si>
    <t>EU.ST6254055</t>
  </si>
  <si>
    <t>Клапан регулировочный латунный муфтовый</t>
  </si>
  <si>
    <t>Краны шаровые Euros стандартного прохода серии Comfort</t>
  </si>
  <si>
    <t>Число оборотов до полного закрытия - 5; Класс герметимчности затвора - "A".</t>
  </si>
  <si>
    <t>• Корпуса изделий выполнены из высокопрочной горячепрессованной латуни CW617N (стандарт EN12165)</t>
  </si>
  <si>
    <t>• Технология и качественное сырьё  придают изделиям достаточную прочность при небольшом весе.</t>
  </si>
  <si>
    <t>Данная арматура предназначена для подключения к водопроводной сети санитарных приборов(смывныхбачков, стиральных и посудомоечных машин и др.) с помощью гибких соединителей с накидной гайкой. Краны серии MINI используются для подключения  к внутридомовой водопроводной сети индивидуальных точек водоразбора.</t>
  </si>
  <si>
    <t>1"*3/4"х3</t>
  </si>
  <si>
    <t>1"*3/4"х4</t>
  </si>
  <si>
    <t>1"*3/4"х5</t>
  </si>
  <si>
    <t>1"*3/4"х6</t>
  </si>
  <si>
    <t>1"*3/4"х7</t>
  </si>
  <si>
    <t>1"*3/4"х8</t>
  </si>
  <si>
    <t>• Применение коллекторных лучевых схем отопления обеспечивает равномерность прогрева каждого прибора, а также позволяет производить их настройку и регулировку с единого "пульта управления".</t>
  </si>
  <si>
    <t>• Корпус фильтров выполнены из высокопрочной горячепрессованной латуни CW617N стандарта EN12165.</t>
  </si>
  <si>
    <t xml:space="preserve">• Пробка косого фильтра для удобства оснащена петлей для пломбировки                                                            </t>
  </si>
  <si>
    <t>EU.ST4022045 34</t>
  </si>
  <si>
    <t>EU.ST4022035 12</t>
  </si>
  <si>
    <t xml:space="preserve">• Присоединение консоли - стандартная трубная ВН резьба 1"   </t>
  </si>
  <si>
    <t>1/2"х1"</t>
  </si>
  <si>
    <t>после фильтра механической очистки.</t>
  </si>
  <si>
    <t>Комплект для монтажа радиатора, с  тремя кронштейнами</t>
  </si>
  <si>
    <t>Комплект для монтажа радиатора, с двумя кронштейнами</t>
  </si>
  <si>
    <t>Кронштейны для радиаторов  угловые универсальные</t>
  </si>
  <si>
    <t>EU.ST6253311</t>
  </si>
  <si>
    <t>EU.ST6252030</t>
  </si>
  <si>
    <t>Кронштейн напольный регулируемый</t>
  </si>
  <si>
    <t>• Опрессовка производится наиболее распространённой в России насадкой типа TH.</t>
  </si>
  <si>
    <t>Диапазон рабочих температур: -30 до +150⁰C</t>
  </si>
  <si>
    <t>Фильтр механической очистки самопромывной, с манометром 0 -16 бар, сетка 300 мкм</t>
  </si>
  <si>
    <t>• Тип резьбы дюймовая по ГОСТ 6357, класс точности "B"</t>
  </si>
  <si>
    <t>• Седельные уплотнительные кольца шара и  кольцевая прокладка штока изготовлены из фторопласта 4 (P.T.F.E.).</t>
  </si>
  <si>
    <t xml:space="preserve">Шар: хромированная полированная латунь  CW617N </t>
  </si>
  <si>
    <t>Диапазон рабочих температур: от -20 до +150⁰C</t>
  </si>
  <si>
    <t>Максимальное рабочее давление : 30 бар (Ду 15, Ду 20), 25 бар (Ду 25)</t>
  </si>
  <si>
    <t>• Уплотнение штока клапана изготовлено из фторопласта 4 (P.T.F.E);
Корпус и детали, контактирующие с рабочей средой
выполнены из горячепресованной латуни CW617N (cодержание свинца &lt; 2,2%)</t>
  </si>
  <si>
    <t>Резьба трубная цилиндрическая по ГОСТ 6357</t>
  </si>
  <si>
    <t>EU.ST32730</t>
  </si>
  <si>
    <t>Коллекторы предназначены для распределения потока по потребителям. При этом потребителями могут являться  отдельные приборы или группы приборов, контур "теплого пола", отдельные элементы или ветви системы. Коллекторы используются в трубопроводах холодного(в том числе питьевого) и горячего водоснабжения, отопления, а так же в технологических трубопроводах, транспортирующие жидкости, не агрессивные к материалам элементов коллекторных систем. К коллекторам могут присоединяться металлополимерные, полимерные, стальные  медные и пластиковые трубопроводы.</t>
  </si>
  <si>
    <t>Максимальное давление: 20 бар (для Ду15,20,25),16 бар (Ду32,Ду40,50)</t>
  </si>
  <si>
    <t>Фильтр механической очистки сетчатый, "Т-образный", сетка 300 мкм</t>
  </si>
  <si>
    <t>Диапазон настраиваемого давления: от 1 до 6 бар</t>
  </si>
  <si>
    <t>Заводская настройка выходного давления: 3 бар</t>
  </si>
  <si>
    <t>EU.MY6507 20x34x20</t>
  </si>
  <si>
    <t>Задвижка клиновая латунная муфтовая</t>
  </si>
  <si>
    <t>Диапазон рабочих температур: -30 до +130⁰C</t>
  </si>
  <si>
    <t>EU.ST41090</t>
  </si>
  <si>
    <t>EU.ST4109030 12</t>
  </si>
  <si>
    <t>EU.ST4109040 34</t>
  </si>
  <si>
    <t>EU.ST4109050 1</t>
  </si>
  <si>
    <t>EU.ST4109060 114</t>
  </si>
  <si>
    <t>EU.ST4109070 112</t>
  </si>
  <si>
    <t>EU.ST4109080 2</t>
  </si>
  <si>
    <t xml:space="preserve">  Клапан применяется в качестве запорно-регулирующей арматуры для систем питьевого и хозяйственно-питьевого назначения,  отопления, горячего водоснабжения, паропроводах низкого давления и для других систем  транспортировки жидкостей не агрессивных к материлам клапана. Конструкция запирающего механизма в форме конуса позволяет  плавно изменять сопротивление клапана.</t>
  </si>
  <si>
    <t>EU.ST3036</t>
  </si>
  <si>
    <t>Обойма - тройник ремонтная</t>
  </si>
  <si>
    <t>EU.ST3036035 12x12</t>
  </si>
  <si>
    <t>1/2"x 1/2"</t>
  </si>
  <si>
    <t>Диапазон рабочих температур: -20…+130⁰С</t>
  </si>
  <si>
    <t>Максимальное давление: 40 бар (для Ду15,20),25 бар (Ду25,32), 20 бар (Ду40,50)</t>
  </si>
  <si>
    <t>EU.ST4056</t>
  </si>
  <si>
    <t>Клапан обратный с латунным золотником</t>
  </si>
  <si>
    <t>EU.ST4056035 12</t>
  </si>
  <si>
    <t>EU.ST4056045 34</t>
  </si>
  <si>
    <t>EU.ST4056055 1</t>
  </si>
  <si>
    <t>EU.ST4056065 114</t>
  </si>
  <si>
    <t>EU.ST4056075 112</t>
  </si>
  <si>
    <t>EU.ST4056085 2</t>
  </si>
  <si>
    <t>• Корпуса клапанов выполнены из высокопрочной горячепрессованной латуни CW617N стандарта EN12165</t>
  </si>
  <si>
    <t>• Золотниковая тарелка клапанов может быть изготовлена либо из нейлона, либо из латуни</t>
  </si>
  <si>
    <t>• Монтажное положение клапанов любое, стрелка на корпусе должна совпадать с направлением движения среды</t>
  </si>
  <si>
    <t>Фильтр механической очистки никелированный косой, сетка 500 мкм</t>
  </si>
  <si>
    <t>Фильтры тонкой очистки Euros с латунной колбой</t>
  </si>
  <si>
    <t xml:space="preserve">• Монтажные патрубки  фильтров для универсальности монтажа оснащены как наружной, так и внутренней резьбой.                                                        </t>
  </si>
  <si>
    <t xml:space="preserve">• Все резьбовые соединения  уплотнены прокладками из  NBR , фильтрующая  сетка выполнена  из нерж.cтали AISI 304                                                 </t>
  </si>
  <si>
    <t>Диапазон рабочих температур: 0…+95⁰С</t>
  </si>
  <si>
    <t>Максимальное испытательное давление: 25 бар</t>
  </si>
  <si>
    <t>Номинальный расход : 1,5 м3/ч</t>
  </si>
  <si>
    <t>Давление системы водоснабжения для устойчивой работы: 2,2÷4,5 бар</t>
  </si>
  <si>
    <t>EU.ST6198</t>
  </si>
  <si>
    <t>Фильтр тонкой очистки, промывной, с латунной колбой и манометром 0-16 бар, сетка 100 мкм</t>
  </si>
  <si>
    <t>Универсальное подключение</t>
  </si>
  <si>
    <t>EU.ST6198030 12</t>
  </si>
  <si>
    <t>EU.ST6200</t>
  </si>
  <si>
    <t>Фильтр тонкой очистки, промывной, с латунной колбой, сетка 100 мкм</t>
  </si>
  <si>
    <t>EU.ST6200030 12</t>
  </si>
  <si>
    <t>Диапазон рабочих температур: 0…+65⁰С</t>
  </si>
  <si>
    <t>Максимальное испытательное давление: 16 бар</t>
  </si>
  <si>
    <t>EU.ST6199</t>
  </si>
  <si>
    <t>EU.ST6199030 12</t>
  </si>
  <si>
    <t>EU.ST6201</t>
  </si>
  <si>
    <t>Фильтр тонкой очистки , промывной, с прозрачной плексигласовой колбой, сетка 100 мкм</t>
  </si>
  <si>
    <t>EU.ST6201030 12</t>
  </si>
  <si>
    <t>Фильтр тонкой очистки, промывной, с прозрачной плексигласовой колбой</t>
  </si>
  <si>
    <t xml:space="preserve"> и манометром 0-16 бар, сетка 100 мкм</t>
  </si>
  <si>
    <t>Редукторы давления предназначены для регулируемого снижения давления транспортируемой среды в сетях холодного и горячего водоснабжения, пневмоприводах сжатого воздуха, а также на технологических трубопроводах, транспортирующих жидкости и газы, не агрессивные к материалам редуктора. Редукторы поддерживают настроечное давление на выходе вне зависимости от скачков давления в сети. В статическом режиме давление после редукторов также не превышает настроечное.</t>
  </si>
  <si>
    <t>• Корпуса редукторов выполнены из высокопрочной горячепрессованной латуни CW617N стандарта EN12165.</t>
  </si>
  <si>
    <t>• Приборы рекомендуется устанавливать в вертикальном положении, согласно стрелке указанной на корпусе,</t>
  </si>
  <si>
    <t>EU.ST6197</t>
  </si>
  <si>
    <t>Диапазон рабочих температур: 0…+80⁰С</t>
  </si>
  <si>
    <t>Максимальное рабочее давление: 25 бар</t>
  </si>
  <si>
    <t>EU.ST6197030 12</t>
  </si>
  <si>
    <t>EU.ST6197040 34</t>
  </si>
  <si>
    <t>EU.ST6197050 1</t>
  </si>
  <si>
    <t>EU.ST6196</t>
  </si>
  <si>
    <t>Клапан отсекающий для воздухоотводчика 1/2"</t>
  </si>
  <si>
    <t>Наружняя резьба</t>
  </si>
  <si>
    <t>EU.ST6196030 12</t>
  </si>
  <si>
    <t>EU.ST1287060 1 14</t>
  </si>
  <si>
    <t>EU.ST1287070 1 12</t>
  </si>
  <si>
    <t>EU.ST1287080 2</t>
  </si>
  <si>
    <t>EU.ST3033065 114</t>
  </si>
  <si>
    <t>EU.ST3047075 112</t>
  </si>
  <si>
    <t>EU.ST3033075 112</t>
  </si>
  <si>
    <t>EU.ST3012445 112x114</t>
  </si>
  <si>
    <t>1 1/2"х11/4"</t>
  </si>
  <si>
    <t>EU.ST3012535 2x1</t>
  </si>
  <si>
    <t>2 "х1"</t>
  </si>
  <si>
    <t>EU.ST3012545 2x114</t>
  </si>
  <si>
    <t>2 "х1 1/4"</t>
  </si>
  <si>
    <t>EU.ST3012555 2x112</t>
  </si>
  <si>
    <t>1 1/4"х1/2"х1 1/4"</t>
  </si>
  <si>
    <t>EU.ST3047265 114x12x114</t>
  </si>
  <si>
    <t>EU.ST3013115 38x14</t>
  </si>
  <si>
    <t>EU.ST3013215 12x14</t>
  </si>
  <si>
    <t xml:space="preserve"> 3/8" х 1/4"</t>
  </si>
  <si>
    <t xml:space="preserve"> 1/2" х 1/4"</t>
  </si>
  <si>
    <t>EU.ST3013325 114х12</t>
  </si>
  <si>
    <t>EU.ST3013185 114х34</t>
  </si>
  <si>
    <t>EU.ST3013325 112х12</t>
  </si>
  <si>
    <t>EU.ST3013285 112х34</t>
  </si>
  <si>
    <t>EU.ST3013295 112х1</t>
  </si>
  <si>
    <t>EU.ST3013445 2х114</t>
  </si>
  <si>
    <t>EU.ST3013435 2х1</t>
  </si>
  <si>
    <t>1 1/2"х1/2"</t>
  </si>
  <si>
    <t>1 1/2"х3/4"</t>
  </si>
  <si>
    <t>1 1/2"х1"</t>
  </si>
  <si>
    <t>2"х1 1/4"</t>
  </si>
  <si>
    <t>2"х1 "</t>
  </si>
  <si>
    <t>2"х 1/2"</t>
  </si>
  <si>
    <t>EU.ST3018125 38х14</t>
  </si>
  <si>
    <t>EU.ST3018135 12х14</t>
  </si>
  <si>
    <t>EU.ST3018145 12х38</t>
  </si>
  <si>
    <t>3/8"х1/4"</t>
  </si>
  <si>
    <t>1/2"х1/4"</t>
  </si>
  <si>
    <t>1/2"х3/8"</t>
  </si>
  <si>
    <t>EU.ST3018205 114х12</t>
  </si>
  <si>
    <t>EU.ST3018185 114х34</t>
  </si>
  <si>
    <t>EU.ST3018305 112х12</t>
  </si>
  <si>
    <t>EU.ST3018425 112х34</t>
  </si>
  <si>
    <t>EU.ST3018325 112х1</t>
  </si>
  <si>
    <t>EU.ST3018337 112х114</t>
  </si>
  <si>
    <t>EU.ST3018495 2х34</t>
  </si>
  <si>
    <t>EU.ST3018485 2х12</t>
  </si>
  <si>
    <t>2"х 3/4"</t>
  </si>
  <si>
    <t>EU.ST3018435 2х1</t>
  </si>
  <si>
    <t>2"х 1"</t>
  </si>
  <si>
    <t>EU.ST3018345 2х112</t>
  </si>
  <si>
    <t>EU.ST3018335 2х114</t>
  </si>
  <si>
    <t>2"х1 1/2"</t>
  </si>
  <si>
    <t>EU.ST3050125 12х14</t>
  </si>
  <si>
    <t>EU.ST3050135 12х38</t>
  </si>
  <si>
    <t>EU.ST3050205 114х12</t>
  </si>
  <si>
    <t>EU.ST3050</t>
  </si>
  <si>
    <t>EU.ST3018</t>
  </si>
  <si>
    <t>EU.ST3013</t>
  </si>
  <si>
    <t>EU.ST3047</t>
  </si>
  <si>
    <t>EU.ST6045040 34</t>
  </si>
  <si>
    <t>EU.ST3093250</t>
  </si>
  <si>
    <t xml:space="preserve"> 11/4" х1/2"х1/2"</t>
  </si>
  <si>
    <t>Соединитель обжимной коллекторный EВРОКОНУС для металлополимерной трубы</t>
  </si>
  <si>
    <t>Соединитель обжимной коллекторный EВРОКОНУС для PEX трубы</t>
  </si>
  <si>
    <t>EU.ST 3287030 16х2х34</t>
  </si>
  <si>
    <t>Ø16x2 - 3/4"</t>
  </si>
  <si>
    <t>Ø20x2 - 3/4"</t>
  </si>
  <si>
    <t>EU.ST 3287040 20х2х34</t>
  </si>
  <si>
    <t>EU.ST3287</t>
  </si>
  <si>
    <t>EU.ST3288</t>
  </si>
  <si>
    <t>EU.ST 3288030 16х2х34</t>
  </si>
  <si>
    <t>EU.ST 3288040 20х2х34</t>
  </si>
  <si>
    <t>Термометер коллекторный аксиальный с присоединителем , D=40мм, 0-120 ⁰С</t>
  </si>
  <si>
    <t>1/4"</t>
  </si>
  <si>
    <t>EU.ST6046</t>
  </si>
  <si>
    <t>EU.ST6047</t>
  </si>
  <si>
    <t>EU.ST 6046030 14</t>
  </si>
  <si>
    <t>EU.ST 6047040 12</t>
  </si>
  <si>
    <t>Расходомер коллекторный с присоединителем , 0-5 л/мин</t>
  </si>
  <si>
    <t>EU.ST7001</t>
  </si>
  <si>
    <t xml:space="preserve">Кронштейн с резиновыми вставками для брусчатых коллекторов </t>
  </si>
  <si>
    <t>EU.ST7001040 34</t>
  </si>
  <si>
    <t>EU.ST7001050 1</t>
  </si>
  <si>
    <t>EU.ST7001060 114</t>
  </si>
  <si>
    <t>1-1/4"</t>
  </si>
  <si>
    <t>EU.ST7002</t>
  </si>
  <si>
    <t xml:space="preserve">Кронштейн с резиновыми вставками для круглых коллекторов </t>
  </si>
  <si>
    <t>EU.ST7002040 34</t>
  </si>
  <si>
    <t>EU.ST7002050 1</t>
  </si>
  <si>
    <t>Ниппель коллекторный переходной ЕВРОКОНУС с уплотнителем</t>
  </si>
  <si>
    <t>EU.ST619235050S</t>
  </si>
  <si>
    <t>EU.ST6192</t>
  </si>
  <si>
    <t>3/4"x 1/2"</t>
  </si>
  <si>
    <t>Пробка коллекторная концевая с уплотнителем</t>
  </si>
  <si>
    <t>EU.ST 6211040 34</t>
  </si>
  <si>
    <t>EU.ST 6211050 1</t>
  </si>
  <si>
    <t>EU.ST 6211060 114</t>
  </si>
  <si>
    <t>EU.ST6211</t>
  </si>
  <si>
    <t>EU.ST6240</t>
  </si>
  <si>
    <t>EU.ST 6240040 34</t>
  </si>
  <si>
    <t>EU.ST 6240050 1</t>
  </si>
  <si>
    <t>11/4"</t>
  </si>
  <si>
    <t>EU.ST 6240060 114</t>
  </si>
  <si>
    <t>Ниппель коллекторный соединительный с уплотнителями</t>
  </si>
  <si>
    <t>Универсальные запорно-присоединительные узлы предназначены для нижнего подключения радиаторов с расстоянияем между центрами подводящих патрубков 50 мм.</t>
  </si>
  <si>
    <t>Узел универсалшьный запорно-присоединительный для нижнего подключения радиаторов прямой</t>
  </si>
  <si>
    <t>Узел универсалшьный запорно-присоединительный для нижнего подключения радиаторов угловой</t>
  </si>
  <si>
    <t>EU.ST6014045 12</t>
  </si>
  <si>
    <t>EU.ST6015045 12</t>
  </si>
  <si>
    <t>1/2"х3/4"</t>
  </si>
  <si>
    <t>EU.ST6014</t>
  </si>
  <si>
    <t>EU.ST6015</t>
  </si>
  <si>
    <t>Вентили радиаторные настроечные на обратную подводку</t>
  </si>
  <si>
    <t>Запорные (настроечные) вентили предназначены для монтажной настройки расхода (гидравлической балансировки) с последующим ограничением доступа к штоку путём установки защитного колпачка.</t>
  </si>
  <si>
    <t>EU.ST61930</t>
  </si>
  <si>
    <t>EU.ST6193030 12</t>
  </si>
  <si>
    <t>EU.ST6193040 34</t>
  </si>
  <si>
    <t xml:space="preserve">Клапан терморегулирующий осевой </t>
  </si>
  <si>
    <t xml:space="preserve"> </t>
  </si>
  <si>
    <t>3/4"-3bar</t>
  </si>
  <si>
    <t>3/4"-6bar</t>
  </si>
  <si>
    <t>EU.ST6216031 12</t>
  </si>
  <si>
    <t>EU.ST6216032 12</t>
  </si>
  <si>
    <t>EU.ST6216041 34</t>
  </si>
  <si>
    <t>EU.ST6033</t>
  </si>
  <si>
    <t>EU.ST6033035 12</t>
  </si>
  <si>
    <t>EU.ST6033045 34</t>
  </si>
  <si>
    <t>Воздухоотводчик автоматический угловой универсальный</t>
  </si>
  <si>
    <t>EU.ST6216</t>
  </si>
  <si>
    <t>Группа безопасности котла</t>
  </si>
  <si>
    <t>Группа подключения мембранного бака с отсекателем</t>
  </si>
  <si>
    <t>EU.ST6071</t>
  </si>
  <si>
    <t>Давление настройки 3 и 6 бар, консоль стальная</t>
  </si>
  <si>
    <t>Комплект присоединителей для водосчетчика с обратным клапаном</t>
  </si>
  <si>
    <t>EU.ST330030 12x12</t>
  </si>
  <si>
    <t>EU.ST6253302 34</t>
  </si>
  <si>
    <t>EU.ST62533</t>
  </si>
  <si>
    <t>EU.ST3300</t>
  </si>
  <si>
    <t>Скидка</t>
  </si>
  <si>
    <t>EU.ST6079450</t>
  </si>
  <si>
    <t xml:space="preserve">EU.ST6079550 </t>
  </si>
  <si>
    <t>EU.ST6079650</t>
  </si>
  <si>
    <t>EU.ST6079750</t>
  </si>
  <si>
    <t>EU.ST6079850</t>
  </si>
  <si>
    <t xml:space="preserve">EU.ST6079360 </t>
  </si>
  <si>
    <t>1 1/4"*3/4"х3</t>
  </si>
  <si>
    <t xml:space="preserve">EU.ST6079460 </t>
  </si>
  <si>
    <t>1 1/4"*3/4"х4</t>
  </si>
  <si>
    <t xml:space="preserve">EU.ST6079560 </t>
  </si>
  <si>
    <t>1 1/4"*3/4"х5</t>
  </si>
  <si>
    <t xml:space="preserve">EU.ST6079660 </t>
  </si>
  <si>
    <t>1 1/4"*3/4"х6</t>
  </si>
  <si>
    <t xml:space="preserve">EU.ST6079760 </t>
  </si>
  <si>
    <t>1 1/4"*3/4"х7</t>
  </si>
  <si>
    <t xml:space="preserve">EU.ST6079860 </t>
  </si>
  <si>
    <t>1 1/4"*3/4"х8</t>
  </si>
  <si>
    <t xml:space="preserve">EU.ST6081361 </t>
  </si>
  <si>
    <t xml:space="preserve">EU.ST6081461 </t>
  </si>
  <si>
    <t xml:space="preserve">EU.ST6081561 </t>
  </si>
  <si>
    <t xml:space="preserve">EU.ST6081661 </t>
  </si>
  <si>
    <t xml:space="preserve">EU.ST6081761 </t>
  </si>
  <si>
    <t>EU.ST6081861</t>
  </si>
  <si>
    <t>EU.ST607130 34х34х12  3</t>
  </si>
  <si>
    <t>EU.ST607131 34х34х12  6</t>
  </si>
  <si>
    <t>3/4"х3/4"х12"</t>
  </si>
  <si>
    <t xml:space="preserve">                                                                                                                                                                                                  </t>
  </si>
  <si>
    <t>Уважаемый клиент, Ваша скидка:</t>
  </si>
  <si>
    <t>CONST ИЗ РЕАЛЬНОЙ ОТЧЕТНОСТИ 2013</t>
  </si>
  <si>
    <t xml:space="preserve">ПРИ ПОВЫШЕНИИ ЦЕНЫ </t>
  </si>
  <si>
    <t>ИТОГО ВАЛЮТНЫЙ ПРАЙС</t>
  </si>
  <si>
    <t>ИЗ РЕАЛЬНОЙ ОТЧЕТНОСТИ</t>
  </si>
  <si>
    <t>Итоги:</t>
  </si>
  <si>
    <t>ОТСЛЕЖИВАНИЕ ЦЕН ПО СЕБЕСТОИМОСТИ ОТ  КУРСА USD при разных группах скидок</t>
  </si>
  <si>
    <t xml:space="preserve"> Средняя процентная доля в месячной прибыли( по 2013 г.)</t>
  </si>
  <si>
    <t>Число артикулов в группе</t>
  </si>
  <si>
    <t xml:space="preserve"> Средняя рентабельность за 2013 г.</t>
  </si>
  <si>
    <t>Среднегрупповая цена по сравнению с min Valtec (дешевле на:)</t>
  </si>
  <si>
    <t>Средняя арифм. рент., %</t>
  </si>
  <si>
    <t>ПЛАНОВЫЙ ПОКАЗАТЕЛЬ 2014 Г.</t>
  </si>
  <si>
    <t xml:space="preserve">РАЗНИЦА </t>
  </si>
  <si>
    <t>РЕНТАБЕЛЬНОСТЬ ПРИ  MIN скидке., %</t>
  </si>
  <si>
    <t>РАЗНИЦА мужду мин. и ПЛАНОМ</t>
  </si>
  <si>
    <t xml:space="preserve"> Средняя расчетная объемная  рентабельность по 2013г. при текущей скидке, % </t>
  </si>
  <si>
    <t>Реальный объем реализации по группам в 2013 г., шт. (м)</t>
  </si>
  <si>
    <t xml:space="preserve">  Расчетная  прибыль при скидке при объемах 2013 г., USD </t>
  </si>
  <si>
    <t xml:space="preserve"> Доля группы в общей реализации EUROS за 2013, % </t>
  </si>
  <si>
    <t xml:space="preserve"> Доля группы в общей расчетной прибыли EUROS в объемах 2013, % </t>
  </si>
  <si>
    <t xml:space="preserve"> Лидер группы по кол-ву продаж  в объемах EUROS 2013, артикул</t>
  </si>
  <si>
    <t xml:space="preserve"> Лидер группы по объему прибыли в объемах EUROS 2013, артикул</t>
  </si>
  <si>
    <t>При скидке:</t>
  </si>
  <si>
    <t>Группа D</t>
  </si>
  <si>
    <t>Группа А</t>
  </si>
  <si>
    <t>Группа B</t>
  </si>
  <si>
    <t>Группа C</t>
  </si>
  <si>
    <t>У товарных групп:</t>
  </si>
  <si>
    <t>Число артикулов с рент.&lt;5%</t>
  </si>
  <si>
    <t>Краны шаровые Grand</t>
  </si>
  <si>
    <t>Краны шаровые Comfort*</t>
  </si>
  <si>
    <t>Вентили и задвижки</t>
  </si>
  <si>
    <t>Даннные если повысим цены</t>
  </si>
  <si>
    <t>Арматура для бытовой техники</t>
  </si>
  <si>
    <t>входит в шаровые краны</t>
  </si>
  <si>
    <t>И другие цвета - при существующем прайсе</t>
  </si>
  <si>
    <t>Обраные клапаны</t>
  </si>
  <si>
    <t>Фильтры механической очистки</t>
  </si>
  <si>
    <t>Фильтры тонкой очистки</t>
  </si>
  <si>
    <t>МП труба Pex-b/AL/Pex-b</t>
  </si>
  <si>
    <t>Ручные радиаторные вентили</t>
  </si>
  <si>
    <t>Клапаны термостические</t>
  </si>
  <si>
    <t>Головки термостические</t>
  </si>
  <si>
    <t>Редукторы давления</t>
  </si>
  <si>
    <t>Предохранительная арматура</t>
  </si>
  <si>
    <t>Коллекторы</t>
  </si>
  <si>
    <t>Комплекты для монтажа радиаторов</t>
  </si>
  <si>
    <t>Комплектующие для монтажа радиаторов</t>
  </si>
  <si>
    <t>Резьбовые фитинги</t>
  </si>
  <si>
    <t>Цанговые фитинги</t>
  </si>
  <si>
    <t>Пресс-фитинги</t>
  </si>
  <si>
    <t>Подставьте В столбец выше группу скидок справа (включая заголовок)</t>
  </si>
  <si>
    <t>Итого по арматуре:</t>
  </si>
  <si>
    <t>Краны шаровые Euros</t>
  </si>
  <si>
    <t xml:space="preserve">*Comfort - доля в прибыли за 2013 год - 0,6%, средняя рентабельность в 2013 г. - 14,41% </t>
  </si>
  <si>
    <t xml:space="preserve"> Вернуться к оглавлению</t>
  </si>
  <si>
    <r>
      <t xml:space="preserve">Кран шаровой применяется в качестве запорной арматуры на трубопроводах систем питьевого и хозяйственно-питьевого назначения, горячего водоснабжения, отопления, сжатого воздуха, жидких углеводородов, а также на технологических трубопроводах, транспортирующих жидкости, не агрессивные к материалам крана. </t>
    </r>
    <r>
      <rPr>
        <b/>
        <sz val="9"/>
        <rFont val="Calibri"/>
        <family val="2"/>
        <charset val="204"/>
      </rPr>
      <t>Использование шаровых кранов в качестве регулирующей арматуры не допускается.</t>
    </r>
  </si>
  <si>
    <t xml:space="preserve">• Кран ремонтопригоден за счёт использования сменного тефлонового сальникового уплотнения с прижимной гайкой. </t>
  </si>
  <si>
    <t>Мы повысили цену на:</t>
  </si>
  <si>
    <t>Текущий СЭЛТ:</t>
  </si>
  <si>
    <t>Макс. рабочее давление: 40…16 бар (в зависимости от диаметра)</t>
  </si>
  <si>
    <t>CONST=</t>
  </si>
  <si>
    <t>Скидки -VALTEC</t>
  </si>
  <si>
    <t>Кран шаровой (ручка рычаг)</t>
  </si>
  <si>
    <t>k=0,9</t>
  </si>
  <si>
    <t>VALTEC VT.214 vs EUROS</t>
  </si>
  <si>
    <t>EUROS</t>
  </si>
  <si>
    <t>Осень 2014</t>
  </si>
  <si>
    <t>New price</t>
  </si>
  <si>
    <t>Вес VT/EU</t>
  </si>
  <si>
    <t>VT/ EU</t>
  </si>
  <si>
    <t>Ср. себ., USD</t>
  </si>
  <si>
    <t>Ср. себ., RUR</t>
  </si>
  <si>
    <t>Рент., %</t>
  </si>
  <si>
    <t>NEW FOB price, USD</t>
  </si>
  <si>
    <t xml:space="preserve"> НОМИНАЛЬНЫЙ Опт , RUR</t>
  </si>
  <si>
    <t>Розница при скидке, RUR</t>
  </si>
  <si>
    <t>Рент. НОМ, %</t>
  </si>
  <si>
    <t>Рент. ТЕК, %</t>
  </si>
  <si>
    <t>Норма рент по (VALTEC-4%)</t>
  </si>
  <si>
    <t>VALTEC -USD</t>
  </si>
  <si>
    <t>Опт при скидке, USD</t>
  </si>
  <si>
    <t>Розница при скидке, USD</t>
  </si>
  <si>
    <t>Рент. НОМ, % - USD</t>
  </si>
  <si>
    <t>Доли в объеме продаж %, рентабельность группы долевая</t>
  </si>
  <si>
    <t>Продажи за 2013 г, шт.</t>
  </si>
  <si>
    <t>Прибыль при тек. Рент.,USD</t>
  </si>
  <si>
    <t>Доли в валютной прибыли, %, доля в общей прибыли,%</t>
  </si>
  <si>
    <t>Доли в общем объеме КШ, %</t>
  </si>
  <si>
    <t>Доли в общей прибыли КШ, %</t>
  </si>
  <si>
    <t>Доли в общем объеме EUROS, %</t>
  </si>
  <si>
    <t>Доли в общей прибыли EUROS, %</t>
  </si>
  <si>
    <t>Кран шаровой (ручка  рычаг)</t>
  </si>
  <si>
    <t>VALTEC VT.215 vs EUROS</t>
  </si>
  <si>
    <t>Рент., % - USD</t>
  </si>
  <si>
    <t>Кран шаровой (ручка-бабочка)</t>
  </si>
  <si>
    <t>VALTEC VT.217 vs EUROS</t>
  </si>
  <si>
    <t>VALTEC VT.218 vs EUROS</t>
  </si>
  <si>
    <t>VALTEC VT.219 vs EUROS</t>
  </si>
  <si>
    <t>Кран шаровой с полусгоном (ручка-бабочка)</t>
  </si>
  <si>
    <t>VALTEC VT.227 vs EUROS</t>
  </si>
  <si>
    <t>Кран шаровой угловой с полусгоном (ручка-бабочка)</t>
  </si>
  <si>
    <t>VALTEC VT.228 vs EUROS</t>
  </si>
  <si>
    <t>Кран шаровой c фильтром (ручка рычаг)</t>
  </si>
  <si>
    <t>VALTEC VT.292 vs EUROS</t>
  </si>
  <si>
    <t>Кран шаровой c фильтром (ручка-бабочка)</t>
  </si>
  <si>
    <t>VALTEC VT.293 vs EUROS</t>
  </si>
  <si>
    <t>Кран шаровой c дренажём  (ручка  рычаг)</t>
  </si>
  <si>
    <t>VALTEC VT.245 vs EUROS</t>
  </si>
  <si>
    <t>Кран шаровой водоразборный (ручка рычаг)</t>
  </si>
  <si>
    <t>VALTEC VT.051 vs EUROS</t>
  </si>
  <si>
    <t>Рентаб.</t>
  </si>
  <si>
    <t xml:space="preserve">Цена </t>
  </si>
  <si>
    <t>Вес</t>
  </si>
  <si>
    <t>ИТОГО по КШ GRAND</t>
  </si>
  <si>
    <t>ИТОГО ПО КШ GRAND</t>
  </si>
  <si>
    <t>Кран шаровой Comfort (ручка  рычаг)</t>
  </si>
  <si>
    <t>VALTEC VT.090 vs EUROS</t>
  </si>
  <si>
    <t>Кран шаровой Comfort (ручка рычаг)</t>
  </si>
  <si>
    <t>ВМЕСТО COMFORT -НОВАЯ ПОЗИЦИЯ НА БАЗЕ ПРЕДЛОЖЕНИЙ ОТ STA</t>
  </si>
  <si>
    <t>VALTEC VT.092 vs EUROS</t>
  </si>
  <si>
    <t>VALTEC VT.093 vs EUROS</t>
  </si>
  <si>
    <t>ИТОГО по КШ COMFORT</t>
  </si>
  <si>
    <t>ВЫВОДИМ ИЗ АССОРТИМЕНТА с 2015 г.</t>
  </si>
  <si>
    <t>ИТОГО ПО КШ COMFORT</t>
  </si>
  <si>
    <t>Доли в общем объеме ВЕНТ, %</t>
  </si>
  <si>
    <t>Доли в общей прибыли ВЕНТ, %</t>
  </si>
  <si>
    <t>EU.ST4108030 12</t>
    <phoneticPr fontId="4" type="noConversion"/>
  </si>
  <si>
    <t>EU.ST4108040 34</t>
    <phoneticPr fontId="4" type="noConversion"/>
  </si>
  <si>
    <t>EU.ST4108050 1</t>
    <phoneticPr fontId="4" type="noConversion"/>
  </si>
  <si>
    <t>EU.ST4108060 114</t>
    <phoneticPr fontId="4" type="noConversion"/>
  </si>
  <si>
    <t>EU.ST4108080 2</t>
    <phoneticPr fontId="4" type="noConversion"/>
  </si>
  <si>
    <t>Задвижки клиновые латунные</t>
  </si>
  <si>
    <t xml:space="preserve">  Задвижка применяется в качестве запорно-регулирующей арматуры на трубопроводах систем питьевого и хозяйственно-питьевого назначения, горячего водоснабжения, отопления, сжатого воздуха, жидких углеводородов, а также на технологических трубопроводах, транспортирующих жидкости, не агрессивные к материлам задвижки. Конструкция запирающего механизма позволяет  плавно регулировать количество транспортируемой среды. </t>
  </si>
  <si>
    <t>FDH</t>
  </si>
  <si>
    <t>•   Ремонтнопригодна за счёт использования сменного тефлонового сальникового уплотнения. Корпус латунь CW 617N</t>
  </si>
  <si>
    <t>Диапазон рабочаих температур: -10 до +110⁰C</t>
  </si>
  <si>
    <t>Число оборотов до полного закрытия - 3; Класс герметимчности затвора - "A".</t>
  </si>
  <si>
    <t>Расчетный срок службы - 20 лет.</t>
  </si>
  <si>
    <r>
      <rPr>
        <sz val="11"/>
        <color indexed="17"/>
        <rFont val="Calibri"/>
        <family val="2"/>
        <charset val="204"/>
      </rPr>
      <t>VALTEC VT.012</t>
    </r>
    <r>
      <rPr>
        <sz val="11"/>
        <rFont val="Calibri"/>
        <family val="2"/>
        <charset val="204"/>
      </rPr>
      <t xml:space="preserve"> and </t>
    </r>
    <r>
      <rPr>
        <sz val="11"/>
        <color indexed="30"/>
        <rFont val="Calibri"/>
        <family val="2"/>
        <charset val="204"/>
      </rPr>
      <t>ENOGLAS H.012</t>
    </r>
    <r>
      <rPr>
        <sz val="11"/>
        <rFont val="Calibri"/>
        <family val="2"/>
        <charset val="204"/>
      </rPr>
      <t xml:space="preserve"> vs EUROS</t>
    </r>
  </si>
  <si>
    <t>EU.ST4109030 12</t>
    <phoneticPr fontId="4" type="noConversion"/>
  </si>
  <si>
    <t>EU.ST4109040 34</t>
    <phoneticPr fontId="4" type="noConversion"/>
  </si>
  <si>
    <t>EU.ST4109050 1</t>
    <phoneticPr fontId="4" type="noConversion"/>
  </si>
  <si>
    <t>EU.ST4109060 114</t>
    <phoneticPr fontId="4" type="noConversion"/>
  </si>
  <si>
    <t>EU.ST4109070 112</t>
    <phoneticPr fontId="4" type="noConversion"/>
  </si>
  <si>
    <t>EU.ST4109080 2</t>
    <phoneticPr fontId="4" type="noConversion"/>
  </si>
  <si>
    <t>ИТОГО по ВЕНТИЛЯМ И ЗАДВИЖКАМ EUROS</t>
  </si>
  <si>
    <t>ИТОГО ПО ВЕНТИЛЯМ И ЗАДВИЖКАМ</t>
  </si>
  <si>
    <t>Данная арматура предназначена для подключения к водопроводной сети санитарных приборов(смывных бачков, стиральных и посудомоечных машин и др.) с помощью гибких соединителей с накидной гайкой. Данный вид кранов позволяет перекрывать подачу воды к конкретному потребителю.</t>
  </si>
  <si>
    <t>• Корпус крана выполнен из высокопрочной горячепрессованной латуни CW617Nб соответствует европейскому стандарту EN12165</t>
  </si>
  <si>
    <t>• Хромированный затворный шар с применением алмазной полировки</t>
  </si>
  <si>
    <t>Класс герметичности затвора - "А"</t>
  </si>
  <si>
    <t>VALTEC VT.331 vs EUROS</t>
  </si>
  <si>
    <t>Доли в общем объеме подгр., %</t>
  </si>
  <si>
    <t>Доли в общей прибыли подгр., %</t>
  </si>
  <si>
    <t>VALTEC VT.330 vs EUROS</t>
  </si>
  <si>
    <t>План</t>
  </si>
  <si>
    <t>VALTEC VT.392 vs EUROS</t>
  </si>
  <si>
    <t>VALTEC VT.256 vs EUROS</t>
  </si>
  <si>
    <t>VALTEC VT.430 vs EUROS</t>
  </si>
  <si>
    <t>VALTEC VTr.670 vs EUROS</t>
  </si>
  <si>
    <t>EU.ST3094150 34x12</t>
    <phoneticPr fontId="4" type="noConversion"/>
  </si>
  <si>
    <t>3/4" х 1/2"</t>
    <phoneticPr fontId="4" type="noConversion"/>
  </si>
  <si>
    <t>EU.ST3040</t>
  </si>
  <si>
    <t>VALTEC VTr.650 vs EUROS</t>
  </si>
  <si>
    <t>EU.ST3040130 12x14</t>
  </si>
  <si>
    <t xml:space="preserve">  1/2"х 14мм</t>
    <phoneticPr fontId="4" type="noConversion"/>
  </si>
  <si>
    <t>EU.ST3040230 12x16</t>
    <phoneticPr fontId="4" type="noConversion"/>
  </si>
  <si>
    <t xml:space="preserve"> 1/2"х 16мм</t>
    <phoneticPr fontId="4" type="noConversion"/>
  </si>
  <si>
    <t>EU.ST3040330 12x18</t>
    <phoneticPr fontId="4" type="noConversion"/>
  </si>
  <si>
    <t>1/2"х 18мм</t>
    <phoneticPr fontId="4" type="noConversion"/>
  </si>
  <si>
    <t>EU.ST3040430 12x20</t>
    <phoneticPr fontId="4" type="noConversion"/>
  </si>
  <si>
    <t xml:space="preserve"> 1/2"х 20мм</t>
    <phoneticPr fontId="4" type="noConversion"/>
  </si>
  <si>
    <t>EU.ST3040240 34x20</t>
    <phoneticPr fontId="4" type="noConversion"/>
  </si>
  <si>
    <t>3/4"х 20мм</t>
    <phoneticPr fontId="4" type="noConversion"/>
  </si>
  <si>
    <t>ИТОГО ПО САНТЕХАРМАТУРЕ</t>
  </si>
  <si>
    <t>Клапан обратный Euros</t>
  </si>
  <si>
    <t>Клапан обратный пружинный предназначен для установки на гидравлических и пневматических трубопроводных сетях и пропуска транспортируемой среды только в оном направлении (указанном стрелкой на корпусе клапана). В качестве транспортируемой среды может использоваться сжатый воздух, холодная и горячая вода и прочие жидкости, не агрессивные к материалу клапана.</t>
  </si>
  <si>
    <t xml:space="preserve">  FDH</t>
  </si>
  <si>
    <t>• Клапан может устанавливаться в любом положении, при этом гидравлические характеристики клапана не меняются.</t>
  </si>
  <si>
    <t>Диапазон рабочих температур: -20…+100⁰С</t>
  </si>
  <si>
    <t>Рабочее давление: от 16 бар (1/2") до 10 бар (2")</t>
  </si>
  <si>
    <t>Клапан обратный с нейлоновым сердечником</t>
  </si>
  <si>
    <t>VALTEC VTr.161 vs EUROS</t>
  </si>
  <si>
    <t>Клапан обратный с латунным сердечником</t>
  </si>
  <si>
    <t>VALTEC VTr.151 vs EUROS</t>
  </si>
  <si>
    <t>ИТГО ОБРАТНЫЕ КЛАПАНЫ EUROS</t>
  </si>
  <si>
    <t>ИТОГО ПО ОБРАТНЫМ КЛАПАНАМ</t>
  </si>
  <si>
    <t>Фильтр применяется для очистки потока от механических примесей в системах трубопроводов горячей и холодной воды,</t>
  </si>
  <si>
    <t>• Корпус фильтра выполнен из высокопрочной горячепрессованной латуни CW617N стандарта EN12165.</t>
  </si>
  <si>
    <t>• Пробка с ушком для пломбировки</t>
  </si>
  <si>
    <t>Макс.рабочая температура: 150⁰С</t>
  </si>
  <si>
    <t>Макс. рабочее давление: от 20 бар (1/2") до 16 бар (2")</t>
  </si>
  <si>
    <t>Размер фильтрующей ячейки: от 300 до 800 мкм</t>
  </si>
  <si>
    <t>Фильтр механической очистки, косой</t>
  </si>
  <si>
    <t>800 мкм</t>
  </si>
  <si>
    <t>VALTEC VT.192 vs EUROS(400, 500 мкм)</t>
  </si>
  <si>
    <t>VALTEC VT.191 vs EUROS(400 мкм)</t>
  </si>
  <si>
    <t>EU.ST4082035 12</t>
    <phoneticPr fontId="4" type="noConversion"/>
  </si>
  <si>
    <t>EU.ST4082045 34</t>
    <phoneticPr fontId="4" type="noConversion"/>
  </si>
  <si>
    <t>EU.ST4082055 1</t>
    <phoneticPr fontId="4" type="noConversion"/>
  </si>
  <si>
    <t>В БУДУЩЕМ НА ПРОИЗВОДСТВЕ</t>
  </si>
  <si>
    <t>уменьшить себестоимость облегчением</t>
  </si>
  <si>
    <t>VALTEC VT.388N vs EUROS(400 мкм)</t>
  </si>
  <si>
    <t>EU.ST4022035 34</t>
    <phoneticPr fontId="4" type="noConversion"/>
  </si>
  <si>
    <t>EU.ST4022045 1</t>
    <phoneticPr fontId="4" type="noConversion"/>
  </si>
  <si>
    <t>VALTEC VT.387N vs EUROS(400 мкм)</t>
  </si>
  <si>
    <t>EU.ST4023035 12</t>
    <phoneticPr fontId="4" type="noConversion"/>
  </si>
  <si>
    <t>EU.ST4023045 34</t>
    <phoneticPr fontId="4" type="noConversion"/>
  </si>
  <si>
    <t>Фильтр механической самопромывной, с манометром 0 -15 бар, сетка 300 мкм</t>
  </si>
  <si>
    <t>VALTEC VT.389.N vs EUROS(400 мкм)</t>
  </si>
  <si>
    <t>EU.ST6026045 34</t>
    <phoneticPr fontId="4" type="noConversion"/>
  </si>
  <si>
    <t>EU.ST6026055 1</t>
    <phoneticPr fontId="4" type="noConversion"/>
  </si>
  <si>
    <t>ИТОГО ПО ФИЛЬТРАМ ГРУБОЙ ОЧИСТКИ</t>
  </si>
  <si>
    <t>ИТОГО  ПО ФИЛЬТРАМ ТОНКОЙ ОЧИСТКИ</t>
  </si>
  <si>
    <t>ИТОГО ПО ФИЛЬТРАМ ТОНКОЙ ОЧИСТКИ</t>
  </si>
  <si>
    <t>!!!! НЕОБХОДИМО СНИЗИТЬ ЗАКУПКУ НА 7-8%</t>
  </si>
  <si>
    <t>Уменьшить К логистики - не возить с радиаторными наборами !!!</t>
  </si>
  <si>
    <t>Труба PEX-b/Al/PEX-b предназначена для использования в системах питьевого и хозяйственно-питьевого назначения, горячего и холодного водоснабжения, отопления, а также в качестве технологических трубопроводов, транспортирующих жидкости, не агресснивные к материалам трубы.</t>
  </si>
  <si>
    <t>к=0,7</t>
  </si>
  <si>
    <t>Итого МПТ  VT vs EU, усредненно</t>
  </si>
  <si>
    <t>4 наим.</t>
  </si>
  <si>
    <t>Цена</t>
  </si>
  <si>
    <t>Расчётный срок службы: 50 лет</t>
  </si>
  <si>
    <t>ЛОГ</t>
  </si>
  <si>
    <t>VALTEC V1620-V3230 vs EUROS</t>
  </si>
  <si>
    <t>Продажи за 2013 г, м</t>
  </si>
  <si>
    <t>Регулирующие вентили предназначены для пользовательской ргулировки расхода.</t>
  </si>
  <si>
    <t>• Все вентили позволяют производить регулировку при любом направлении теплоносителя</t>
  </si>
  <si>
    <t>const=</t>
  </si>
  <si>
    <t>max=</t>
  </si>
  <si>
    <t>VALTEC VT.007L vs EUROS</t>
  </si>
  <si>
    <t>VALTEC VT.008L vs EUROS</t>
  </si>
  <si>
    <t>VALTEC VT.019 vs EUROS</t>
  </si>
  <si>
    <t>VALTEC VT.020 vs EUROS</t>
  </si>
  <si>
    <t>ИТОГО по ручным радиаторным вентилям:</t>
  </si>
  <si>
    <t>ИТОГО ПО РУЧНЫМ РАДИАТОРНЫМ ВЕНТИЛЯМ</t>
  </si>
  <si>
    <t>VALTEC VT.031 vs EUROS</t>
  </si>
  <si>
    <t>VALTEC VT.032 vs EUROS</t>
  </si>
  <si>
    <t>ИТОГО ПО ТЕРМОСТАТИЧЕСКИМ РАДИАТОРНЫМ КЛАПАНАМ</t>
  </si>
  <si>
    <t>ИТОГО ПО РАДИАТОРНЫМ  ТЕРМОСТАТИЧЕСКИМ ВЕНТИЛЯМ:</t>
  </si>
  <si>
    <r>
      <t>12</t>
    </r>
    <r>
      <rPr>
        <sz val="9"/>
        <rFont val="Calibri"/>
        <family val="2"/>
        <charset val="204"/>
      </rPr>
      <t>⁰С</t>
    </r>
  </si>
  <si>
    <t xml:space="preserve">Точность регулировки: </t>
  </si>
  <si>
    <r>
      <t>Жидкостная с диапазоном регулировки 6…28</t>
    </r>
    <r>
      <rPr>
        <sz val="9"/>
        <rFont val="Calibri"/>
        <family val="2"/>
        <charset val="204"/>
      </rPr>
      <t>⁰С</t>
    </r>
  </si>
  <si>
    <t>VALTEC VT.5000 vs EUROS</t>
  </si>
  <si>
    <t>Рентаб. Ср. по обвязке радиаторов:</t>
  </si>
  <si>
    <t>Редуктор давления Euros</t>
  </si>
  <si>
    <t>Редуктор давления предназначен для регулируемого снижения давления транспортируемой среды в сетях холодного и горячего водоснабжения, пневмоприводах сжатого воздуха, а также на технологических трубопроводах, транспортирующих жидкости и газы, не агрессивные к материалам редуктора. Редуктор поддерживает настроечное давление на выходе вне зависимости от скачков давления в сети. В статическом режиме давление после редуктора также не превышает настроечное.</t>
  </si>
  <si>
    <t>• Корпус редуктора выполнен из высокопрочной горячепрессованной латуни CW617N стандарта EN12165.</t>
  </si>
  <si>
    <t>Рабочее давление: 16 бар</t>
  </si>
  <si>
    <t>Давление на выходе: 1…6 бар</t>
  </si>
  <si>
    <t>Давление на выходе (заводское): 3 бар</t>
  </si>
  <si>
    <t>VALTEC VT.087 vs EUROS</t>
  </si>
  <si>
    <t>Редуктор давления поршневой, пружинный c отверстием под манометр</t>
  </si>
  <si>
    <t>VALTEC VT.085 vs EUROS</t>
  </si>
  <si>
    <t>ИТОГО ПО РЕДУКТОРАМ ДАВЛЕНИЯ :</t>
  </si>
  <si>
    <t>ИТОГО ПО РЕДУКТОРАМ ДАВЛЕНИЯ</t>
  </si>
  <si>
    <t>Воздухоотводчик автоматический Euros</t>
  </si>
  <si>
    <t>VALTEC VT.502.H vs EUROS</t>
  </si>
  <si>
    <t>VALTEC VT.539 vs EUROS</t>
  </si>
  <si>
    <t xml:space="preserve">емкостях, трубопроводах и системах тепловой мощностью до 35 кВт. В качестве рабочей среды может использоваться вода, воздух, этиленгликоль, пропиленгликоль </t>
  </si>
  <si>
    <t>и другие жидкости и газообразные среды не агрессивные к материалам клапана.</t>
  </si>
  <si>
    <t xml:space="preserve"> • Заводская настройка клапана  от 1,5 до 6 бар.</t>
  </si>
  <si>
    <t>VALTEC VT.0490 vs EUROS</t>
  </si>
  <si>
    <t>Группа безопасности Euros</t>
  </si>
  <si>
    <t>Предназначена для защиты закрытых систем отопления от избыточного давления и завоздушивания.</t>
  </si>
  <si>
    <t>Представляет собой  предохранительный клапан, автоматический водухоотводчик (с запорным клапаном) и манометр смонтированные на латунной консоли. Присоединения консоли к системе стандартная трубная внутренняя резьба. Монтаж вертикальном положении  на участке трубопровода выше котла.                                                                                                                                        Установка запорной арматуры между котлом и группой безопасности недопустима.</t>
  </si>
  <si>
    <t>• Корпус выполнен из высокопрочной горячепрессованной латуни CW617N стандарта EN12165.                                                             • Заводская настройка клапана 3 бара.</t>
  </si>
  <si>
    <t xml:space="preserve">Группа безопасности </t>
  </si>
  <si>
    <t>VALTEC VT.460 vs EUROS</t>
  </si>
  <si>
    <t>EU.ST607030 12</t>
  </si>
  <si>
    <t>EU.ST607040 34</t>
  </si>
  <si>
    <t>ИТОГО по ПРЕДОХРАНИТЕЛЬНОЙ АРМАТУРЕ:</t>
  </si>
  <si>
    <t>ИТОГО ПО ПРЕДОХРАНИТЕЛЬНОЙ АРМАТУРЕ</t>
  </si>
  <si>
    <t>Коллекторы Euros</t>
  </si>
  <si>
    <t>Коллекторы предназначены для распределения потока по потребителям. При этом потребителями могут являться  отдельные приборы или группы приборов, контур "теплого пола", отдельные элементы или ветви системы. Коллекторы используются в трубопроводах холодного(в том числе питьевого) и горячего водоснабжения, отопления, сжатого воздуха, а так же в технологических трубопроводах, транспортирующие жидкости, не агрессивные к татериалам элементов коллекторных систем.</t>
  </si>
  <si>
    <t>• Применение коллекторных лучевых схем отопления обеспечивает равномерность прогрева каждого прибора а так же позволяет производить их настройку и регулировку с единого "пульта управления"</t>
  </si>
  <si>
    <t>Коллектор нерегулируемый латунный (Отводы 1/2" ВН резьба, межцентровое расстояние 50 мм)</t>
  </si>
  <si>
    <t>NEW/ OLD</t>
  </si>
  <si>
    <t>Блок коллекторный с термостатическими вставками M30x1,5 и запорными клапанами  (Отводы 3/4" НР EK резьба, межцентровое расстояние 50 мм)</t>
  </si>
  <si>
    <t>VALTEC VTc.594 EMNX vs EUROS</t>
  </si>
  <si>
    <t>Блок коллекторный с термостатическими вставками M30x1,5, расходомерами, отсечными кранами, термометрами, воздухоотводчиками и дренажем (Отводы 3/4" НР EK резьба, межцентровое расстояние 50 мм)</t>
  </si>
  <si>
    <t>VALTEC VTc.596 EMNX vs EUROS</t>
  </si>
  <si>
    <t>EU.ST6081351</t>
  </si>
  <si>
    <t>EU.ST6043060 114</t>
    <phoneticPr fontId="4" type="noConversion"/>
  </si>
  <si>
    <t>EU.ST6044050 1</t>
    <phoneticPr fontId="4" type="noConversion"/>
  </si>
  <si>
    <t>EU.ST6044060 114</t>
    <phoneticPr fontId="4" type="noConversion"/>
  </si>
  <si>
    <t>1"</t>
    <phoneticPr fontId="4" type="noConversion"/>
  </si>
  <si>
    <t>EU.ST6045060 114</t>
    <phoneticPr fontId="4" type="noConversion"/>
  </si>
  <si>
    <t>1-1/4"</t>
    <phoneticPr fontId="4" type="noConversion"/>
  </si>
  <si>
    <t>VALTEC VTc.530 vs EUROS</t>
  </si>
  <si>
    <t>XINFAN уменьшить себестоимость на 7-12%</t>
  </si>
  <si>
    <t>VALTEC VTc. 560N vs EUROS</t>
  </si>
  <si>
    <t>VALTEC VTc. 580N vs EUROS</t>
  </si>
  <si>
    <t>EU.ST3273</t>
  </si>
  <si>
    <t>VALTEC VTc.710 vs EUROS</t>
  </si>
  <si>
    <t>VALTEC VT.4420 vs EUROS</t>
  </si>
  <si>
    <t>VALTEC VT.4410 vs EUROS</t>
  </si>
  <si>
    <t>VALTEC VT.0617 vs EUROS</t>
  </si>
  <si>
    <t>VALTEC VT. AC674 vs EUROS</t>
  </si>
  <si>
    <t>VALTEC VTc.130 IV vs EUROS</t>
  </si>
  <si>
    <t>VALTEC VTc.130 vs EUROS</t>
  </si>
  <si>
    <t>PROFACTOR PF MB 819</t>
  </si>
  <si>
    <t>PF/ EU</t>
  </si>
  <si>
    <t>Норма рент по (PF-4%)</t>
  </si>
  <si>
    <t>PF -USD</t>
  </si>
  <si>
    <t>VALTEC VT0600 vs EUROS</t>
  </si>
  <si>
    <t>PF TF36R</t>
  </si>
  <si>
    <t>VALTEC VT0606 vs EUROS</t>
  </si>
  <si>
    <t>ИТОГО ПО ПОДГРУППЕ КОЛЛЕКТОРЫ</t>
  </si>
  <si>
    <t>Итого коллекторы и комплектующиек VT vs EU, усредненно</t>
  </si>
  <si>
    <t>35 наименов.</t>
  </si>
  <si>
    <t>Рентаб. Ср. по группе</t>
  </si>
  <si>
    <t>ИТОГО ПО КОЛЛЕКТОРАМ :</t>
  </si>
  <si>
    <t>ИТОГО по РАДИАТОРНЫМ КОМПЛЕКТАМ :</t>
  </si>
  <si>
    <t>ИТОГО ПО ПОДГРУППЕ РАДИАТОРНЫЕ НАБОРЫ</t>
  </si>
  <si>
    <t>EU.ST6253301</t>
  </si>
  <si>
    <t>ИТОГО ПО ПОДГРУППЕ РАДИАТОРНЫЕ КОМПЛЕКТУЮЩИЕ</t>
  </si>
  <si>
    <t>ИТОГО по РАДИАТОРНЫМ КОМПЛЕКТУЮЩИМ:</t>
  </si>
  <si>
    <t>НАХОЖДЕНИЕ ИНОГО ПОСТАВЩИКА СНИЖЕНИЕ ЗАКУПОЧНОЙ ЦЕНЫ НА 5-7% наряду с повышением розницы на ряд позиций, либо применение 57 латуни</t>
  </si>
  <si>
    <t>• Резьба: трубная (дюймовая) цилиндрическая по ГОСТ 6357 (класс точности «В»), соответствует стандарту ISO 228/2, ISO 7/2.</t>
  </si>
  <si>
    <t>Const=</t>
  </si>
  <si>
    <t>Скидка:</t>
  </si>
  <si>
    <t>План Рент:</t>
  </si>
  <si>
    <t>VALTEC VTr.130 vs EUROS</t>
  </si>
  <si>
    <t>EU.ST3047065 114</t>
    <phoneticPr fontId="4" type="noConversion"/>
  </si>
  <si>
    <t xml:space="preserve"> 1 1/4"</t>
    <phoneticPr fontId="4" type="noConversion"/>
  </si>
  <si>
    <t>EU.ST3047075 112</t>
    <phoneticPr fontId="4" type="noConversion"/>
  </si>
  <si>
    <t xml:space="preserve"> 1 1/2"</t>
    <phoneticPr fontId="4" type="noConversion"/>
  </si>
  <si>
    <t>EU.ST3047085 2</t>
    <phoneticPr fontId="4" type="noConversion"/>
  </si>
  <si>
    <t xml:space="preserve"> 2"</t>
    <phoneticPr fontId="4" type="noConversion"/>
  </si>
  <si>
    <t>EU.ST30471</t>
  </si>
  <si>
    <t>VALTEC VTr.750 vs EUROS</t>
  </si>
  <si>
    <t>VALTEC VTr.760 vs EUROS</t>
  </si>
  <si>
    <t>EU.ST3033035 12</t>
    <phoneticPr fontId="4" type="noConversion"/>
  </si>
  <si>
    <t>EU.ST3033045 34</t>
    <phoneticPr fontId="4" type="noConversion"/>
  </si>
  <si>
    <t>VALTEC VTr.270 vs EUROS</t>
  </si>
  <si>
    <t>EU.ST3015075 112</t>
    <phoneticPr fontId="4" type="noConversion"/>
  </si>
  <si>
    <t>EU.ST3015085 2</t>
    <phoneticPr fontId="4" type="noConversion"/>
  </si>
  <si>
    <t>VALTEC VTr.240 vs EUROS</t>
  </si>
  <si>
    <t>EU.ST3012325 114x12</t>
    <phoneticPr fontId="4" type="noConversion"/>
  </si>
  <si>
    <t>2,33</t>
  </si>
  <si>
    <t>3,173</t>
  </si>
  <si>
    <t>2,777</t>
  </si>
  <si>
    <t>2 "х1 1/2"</t>
  </si>
  <si>
    <t>2,677</t>
  </si>
  <si>
    <t>VALTEC VTr.090 vs EUROS</t>
  </si>
  <si>
    <t>EU.ST3021075 112</t>
    <phoneticPr fontId="4" type="noConversion"/>
  </si>
  <si>
    <t>EU.ST3021085 2</t>
    <phoneticPr fontId="4" type="noConversion"/>
  </si>
  <si>
    <t>VALTEC VTr.092 vs EUROS</t>
  </si>
  <si>
    <t>EU.ST3024065 114</t>
    <phoneticPr fontId="4" type="noConversion"/>
  </si>
  <si>
    <r>
      <t>1 1/4</t>
    </r>
    <r>
      <rPr>
        <b/>
        <sz val="9"/>
        <rFont val="Times New Roman"/>
        <family val="1"/>
      </rPr>
      <t>"</t>
    </r>
  </si>
  <si>
    <t>EU.ST3024075 112</t>
    <phoneticPr fontId="4" type="noConversion"/>
  </si>
  <si>
    <r>
      <t xml:space="preserve"> 1 1/2</t>
    </r>
    <r>
      <rPr>
        <b/>
        <sz val="9"/>
        <rFont val="Times New Roman"/>
        <family val="1"/>
      </rPr>
      <t>"</t>
    </r>
  </si>
  <si>
    <t>EU.ST3024085 2</t>
    <phoneticPr fontId="4" type="noConversion"/>
  </si>
  <si>
    <r>
      <t>2</t>
    </r>
    <r>
      <rPr>
        <b/>
        <sz val="9"/>
        <rFont val="Times New Roman"/>
        <family val="1"/>
      </rPr>
      <t>"</t>
    </r>
  </si>
  <si>
    <t>VALTEC VTr.093 vs EUROS</t>
  </si>
  <si>
    <t>VALTEC VTr.098 vs EUROS</t>
  </si>
  <si>
    <r>
      <t>1 1/4</t>
    </r>
    <r>
      <rPr>
        <b/>
        <sz val="9"/>
        <rFont val="Calibri"/>
        <family val="2"/>
        <charset val="204"/>
      </rPr>
      <t>"</t>
    </r>
  </si>
  <si>
    <t>EU.ST3038085 2</t>
    <phoneticPr fontId="4" type="noConversion"/>
  </si>
  <si>
    <t>VALTEC VTr.340 vs EUROS</t>
  </si>
  <si>
    <t>VALTEC VTr.341 vs EUROS</t>
  </si>
  <si>
    <t>EU.ST3046075 112</t>
    <phoneticPr fontId="4" type="noConversion"/>
  </si>
  <si>
    <t>EU.ST3046085 2</t>
  </si>
  <si>
    <t>VALTEC VTr.728 vs EUROS</t>
  </si>
  <si>
    <t>EU.ST3059155 12</t>
    <phoneticPr fontId="4" type="noConversion"/>
  </si>
  <si>
    <t>EU.ST3059175 34</t>
    <phoneticPr fontId="4" type="noConversion"/>
  </si>
  <si>
    <t>VALTEC VTr.582 vs EUROS</t>
  </si>
  <si>
    <t>EU.ST3014075 112</t>
    <phoneticPr fontId="4" type="noConversion"/>
  </si>
  <si>
    <t>EU.ST3014085 2</t>
    <phoneticPr fontId="4" type="noConversion"/>
  </si>
  <si>
    <t>2"</t>
    <phoneticPr fontId="4" type="noConversion"/>
  </si>
  <si>
    <t>VALTEC VTr.652 vs EUROS</t>
  </si>
  <si>
    <t>EU.ST3037060 12x60</t>
    <phoneticPr fontId="4" type="noConversion"/>
  </si>
  <si>
    <t xml:space="preserve"> 1/2" х 60</t>
    <phoneticPr fontId="4" type="noConversion"/>
  </si>
  <si>
    <t>EU.ST3037080 12x80</t>
    <phoneticPr fontId="4" type="noConversion"/>
  </si>
  <si>
    <t>1/2" х 80</t>
    <phoneticPr fontId="4" type="noConversion"/>
  </si>
  <si>
    <t>EU.ST3037100 12x100</t>
    <phoneticPr fontId="4" type="noConversion"/>
  </si>
  <si>
    <t>1/2" х 100</t>
    <phoneticPr fontId="4" type="noConversion"/>
  </si>
  <si>
    <t xml:space="preserve"> 1/2" х 150</t>
    <phoneticPr fontId="4" type="noConversion"/>
  </si>
  <si>
    <t>EU.ST3037200 12x200</t>
    <phoneticPr fontId="4" type="noConversion"/>
  </si>
  <si>
    <t>1/2" х 200</t>
    <phoneticPr fontId="4" type="noConversion"/>
  </si>
  <si>
    <t>EU.ST3037250 12x250</t>
    <phoneticPr fontId="4" type="noConversion"/>
  </si>
  <si>
    <t xml:space="preserve"> 1/2" х 250</t>
    <phoneticPr fontId="4" type="noConversion"/>
  </si>
  <si>
    <t>Сгон латунный хромированный</t>
  </si>
  <si>
    <t>VALTEC VTr.653 vs EUROS</t>
  </si>
  <si>
    <t>EU.ST3095080 12x80</t>
    <phoneticPr fontId="4" type="noConversion"/>
  </si>
  <si>
    <t xml:space="preserve"> 1/2" х 80</t>
    <phoneticPr fontId="4" type="noConversion"/>
  </si>
  <si>
    <t>EU.ST3095100 12x100</t>
    <phoneticPr fontId="4" type="noConversion"/>
  </si>
  <si>
    <t>EU.ST3095150 12x150</t>
    <phoneticPr fontId="4" type="noConversion"/>
  </si>
  <si>
    <t>1/2" х 150</t>
    <phoneticPr fontId="4" type="noConversion"/>
  </si>
  <si>
    <t>EU.ST3095200 12x200</t>
    <phoneticPr fontId="4" type="noConversion"/>
  </si>
  <si>
    <t xml:space="preserve"> 1/2" х 200</t>
    <phoneticPr fontId="4" type="noConversion"/>
  </si>
  <si>
    <t>EU.ST3095250 12x250</t>
    <phoneticPr fontId="4" type="noConversion"/>
  </si>
  <si>
    <t>1/2" х 250</t>
    <phoneticPr fontId="4" type="noConversion"/>
  </si>
  <si>
    <t>VALTEC VTr.197 vs EUROS</t>
  </si>
  <si>
    <t>EU.ST30131</t>
  </si>
  <si>
    <t>VALTEC VTr.580 vs EUROS</t>
  </si>
  <si>
    <t>0,211</t>
  </si>
  <si>
    <t xml:space="preserve"> 1/2" х 3/8"</t>
    <phoneticPr fontId="4" type="noConversion"/>
  </si>
  <si>
    <t>1,488</t>
  </si>
  <si>
    <t>1,686</t>
  </si>
  <si>
    <t>EU.ST3013485 2х112</t>
  </si>
  <si>
    <t>2"х 11/2"</t>
  </si>
  <si>
    <t>EU.ST30181</t>
  </si>
  <si>
    <t>VALTEC VTr.581 vs EUROS</t>
  </si>
  <si>
    <t>0,12</t>
  </si>
  <si>
    <t>0,264</t>
  </si>
  <si>
    <t>0,193</t>
  </si>
  <si>
    <t>1,884</t>
  </si>
  <si>
    <t>2,975</t>
  </si>
  <si>
    <t>1,983</t>
  </si>
  <si>
    <t>4,661</t>
  </si>
  <si>
    <t>3,273</t>
  </si>
  <si>
    <t>VALTEC VTr.583 vs EUROS</t>
  </si>
  <si>
    <t>EU.ST3019065 114</t>
    <phoneticPr fontId="4" type="noConversion"/>
  </si>
  <si>
    <t>EU.ST3019075 112</t>
    <phoneticPr fontId="4" type="noConversion"/>
  </si>
  <si>
    <t>EU.ST3019085 2</t>
    <phoneticPr fontId="4" type="noConversion"/>
  </si>
  <si>
    <t>VALTEC VTr.590 vs EUROS</t>
  </si>
  <si>
    <t>EU.ST3017065 114</t>
    <phoneticPr fontId="4" type="noConversion"/>
  </si>
  <si>
    <t>EU.ST3017075 112</t>
    <phoneticPr fontId="4" type="noConversion"/>
  </si>
  <si>
    <t>EU.ST3017085 2</t>
    <phoneticPr fontId="4" type="noConversion"/>
  </si>
  <si>
    <t>EU.ST30501</t>
  </si>
  <si>
    <t>VALTEC VTr.592 vs EUROS</t>
  </si>
  <si>
    <t>VALTEC VTr.655 vs EUROS</t>
  </si>
  <si>
    <t>VALTEC VTr.656 vs EUROS</t>
  </si>
  <si>
    <t>EU.ST3022035 12</t>
    <phoneticPr fontId="4" type="noConversion"/>
  </si>
  <si>
    <t xml:space="preserve"> 1/2"</t>
    <phoneticPr fontId="4" type="noConversion"/>
  </si>
  <si>
    <t>EU.ST3022045 34</t>
    <phoneticPr fontId="4" type="noConversion"/>
  </si>
  <si>
    <t>3/4"</t>
    <phoneticPr fontId="4" type="noConversion"/>
  </si>
  <si>
    <t>EU.ST3022055 1</t>
    <phoneticPr fontId="4" type="noConversion"/>
  </si>
  <si>
    <t>EU.ST3022065 114</t>
    <phoneticPr fontId="4" type="noConversion"/>
  </si>
  <si>
    <t>1 1/4"</t>
    <phoneticPr fontId="4" type="noConversion"/>
  </si>
  <si>
    <t>VALTEC VTr.751 vs EUROS</t>
  </si>
  <si>
    <t>VALTEC VTr.132 vs EUROS</t>
  </si>
  <si>
    <t>VALTEC VTr.133 vs EUROS</t>
  </si>
  <si>
    <t>VALTEC VTr.131N vs EUROS</t>
  </si>
  <si>
    <t>EU.ST3026030 12</t>
    <phoneticPr fontId="4" type="noConversion"/>
  </si>
  <si>
    <t>EU.ST80090</t>
  </si>
  <si>
    <t>Лента ФУМ - фторопластовый уплотнитель резьбовых соединений</t>
  </si>
  <si>
    <t>VALTEC VTm.PTFE vs EUROS</t>
  </si>
  <si>
    <t>VALTEC VTr.611N-612N vs EUROS</t>
  </si>
  <si>
    <t>1,308</t>
  </si>
  <si>
    <t>VALTEC VTr755 vs EUROS</t>
  </si>
  <si>
    <t>ИТОГО по резьбовым фитингам</t>
  </si>
  <si>
    <t>ИТОГО ПО ПОДГРУППЕ РЕЗЬБОВЫЕ ФИТИНГИ</t>
  </si>
  <si>
    <t xml:space="preserve">25 артикулов дороже VALTEC из 153 в группе </t>
  </si>
  <si>
    <t>• Метрическая резьба под накидную гайку и переход на трубную (дюймовую) резьбу</t>
  </si>
  <si>
    <t>VALTEC VTm.301 vs EUROS</t>
  </si>
  <si>
    <t>Новая Цена, р.</t>
  </si>
  <si>
    <t>VALTEC VTm.302 vs EUROS</t>
  </si>
  <si>
    <t>VALTEC VTm.303 vs EUROS</t>
  </si>
  <si>
    <t>VALTEC VTm.331 vs EUROS</t>
  </si>
  <si>
    <t>VALTEC VTm.332 vs EUROS</t>
  </si>
  <si>
    <t>VALTEC VTm.333 vs EUROS</t>
  </si>
  <si>
    <t>VALTEC VTm.341 vs EUROS</t>
  </si>
  <si>
    <t>VALTEC VTm.351 vs EUROS</t>
  </si>
  <si>
    <t>VALTEC VTm.352 vs EUROS</t>
  </si>
  <si>
    <t>VALTEC VTm.353 vs EUROS</t>
  </si>
  <si>
    <t>VALTEC VTm.354 vs EUROS</t>
  </si>
  <si>
    <t>Итого Цанговые фитинги  VT vs EU, усредненно</t>
  </si>
  <si>
    <t>68 наименов.</t>
  </si>
  <si>
    <t>ИТОГО ПО ЦАНГОВЫМ ФИТИНГАМ:</t>
  </si>
  <si>
    <t>ИТОГО ПО ПОДГРУППЕ ЦАНГОВЫЕ ФИТИНГИ</t>
  </si>
  <si>
    <t>28 артикулов дороже VALTEC из 68 в группе !!!</t>
  </si>
  <si>
    <t>• Опрессовка производится наиболее распространённой в России насадкой типа TH</t>
  </si>
  <si>
    <t>VALTEC VTm.201 vs EUROS</t>
  </si>
  <si>
    <t>VALTEC VTm.202 vs EUROS</t>
  </si>
  <si>
    <t>VALTEC VTm.203 vs EUROS</t>
  </si>
  <si>
    <t>VALTEC VTm.231 vs EUROS</t>
  </si>
  <si>
    <t>VALTEC VTm.232 vs EUROS</t>
  </si>
  <si>
    <t>VALTEC VTm.233 vs EUROS</t>
  </si>
  <si>
    <t>VALTEC VTm.251 vs EUROS</t>
  </si>
  <si>
    <t>VALTEC VTm.252 vs EUROS</t>
  </si>
  <si>
    <t>VALTEC VTm.253 vs EUROS</t>
  </si>
  <si>
    <t>VALTEC VTm.254 vs EUROS</t>
  </si>
  <si>
    <t>Итого Пресс фитинги  VT vs EU, усредненно</t>
  </si>
  <si>
    <t>77 наименов.</t>
  </si>
  <si>
    <t xml:space="preserve">7 артикулов дороже VALTEC из 77 в группе </t>
  </si>
  <si>
    <t>ИТОГО ПО ПОДГРУППЕ ПРЕСС ФИТИНГИ</t>
  </si>
  <si>
    <t>ИТОГО ПО ПРЕСС ФИТИНГАМ:</t>
  </si>
  <si>
    <t>2 "х11/2"</t>
  </si>
  <si>
    <t>EU.ST3137460</t>
  </si>
  <si>
    <t>EU.ST330030 12x34</t>
  </si>
  <si>
    <t>1/2"x 3/4"</t>
  </si>
  <si>
    <t>Узел универсальный запорно-присоединительный для нижнего подключения радиаторов прямой</t>
  </si>
  <si>
    <t>Узел универсальный запорно-присоединительный для нижнего подключения радиаторов угловой</t>
  </si>
  <si>
    <t>EU.ST3287030 16x2x34</t>
  </si>
  <si>
    <t>EU.ST3287040 20x2x34</t>
  </si>
  <si>
    <t>EU.ST3288030 16x2x34</t>
  </si>
  <si>
    <t>EU.ST3288040 20x2x34</t>
  </si>
  <si>
    <t>EU.ST6046030 14</t>
  </si>
  <si>
    <t>EU.ST6047040 12</t>
  </si>
  <si>
    <t>EU.ST6211040 34</t>
  </si>
  <si>
    <t>EU.ST6211050 1</t>
  </si>
  <si>
    <t>EU.ST6211060 114</t>
  </si>
  <si>
    <t>EU.ST6240040 34</t>
  </si>
  <si>
    <t>EU.ST6240050 1</t>
  </si>
  <si>
    <t>EU.ST6240060 114</t>
  </si>
  <si>
    <t>EU.ST6252030 170x9</t>
  </si>
  <si>
    <t>EU.ST6070030 12</t>
  </si>
  <si>
    <t>EU.ST6070040 34</t>
  </si>
  <si>
    <t>EU.ST3013155 34x12</t>
  </si>
  <si>
    <t>EU.ST3013165 1x12</t>
  </si>
  <si>
    <t>EU.ST3013175 1x34</t>
  </si>
  <si>
    <t>EU.ST3013185 114x34</t>
  </si>
  <si>
    <t>EU.ST3013285 112x34</t>
  </si>
  <si>
    <t>EU.ST3013295 112x1</t>
  </si>
  <si>
    <t>EU.ST3013325 112x12</t>
  </si>
  <si>
    <t>EU.ST3013325 114x12</t>
  </si>
  <si>
    <t>EU.ST3013435 2x1</t>
  </si>
  <si>
    <t>EU.ST3013445 2x114</t>
  </si>
  <si>
    <t>EU.ST3013485 2x112</t>
  </si>
  <si>
    <t>EU.ST3018125 38x14</t>
  </si>
  <si>
    <t>EU.ST3018135 12x14</t>
  </si>
  <si>
    <t>EU.ST3018145 12x38</t>
  </si>
  <si>
    <t>EU.ST3018155 34x12</t>
  </si>
  <si>
    <t>EU.ST3018165 1x12</t>
  </si>
  <si>
    <t>EU.ST3018175 1x34</t>
  </si>
  <si>
    <t>EU.ST3018185 114x34</t>
  </si>
  <si>
    <t>EU.ST3018195 114x1</t>
  </si>
  <si>
    <t>EU.ST3018205 114x12</t>
  </si>
  <si>
    <t>EU.ST3018305 112x12</t>
  </si>
  <si>
    <t>EU.ST3018325 112x1</t>
  </si>
  <si>
    <t>EU.ST3018335 2x114</t>
  </si>
  <si>
    <t>EU.ST3018345 2x112</t>
  </si>
  <si>
    <t>EU.ST3018425 112x34</t>
  </si>
  <si>
    <t>EU.ST3018435 2x1</t>
  </si>
  <si>
    <t>EU.ST3018485 2x12</t>
  </si>
  <si>
    <t>EU.ST3018495 2x34</t>
  </si>
  <si>
    <t>EU.ST3037150 12*150</t>
  </si>
  <si>
    <t>EU.ST3050125 12x14</t>
  </si>
  <si>
    <t>EU.ST3050135 12x38</t>
  </si>
  <si>
    <t>EU.ST3050155 34x12</t>
  </si>
  <si>
    <t>EU.ST3050205 114x12</t>
  </si>
  <si>
    <t>EU.ST3272035 12</t>
  </si>
  <si>
    <t>EU.MY6509 26x16x26</t>
  </si>
  <si>
    <t>EU.ST1287060 114</t>
  </si>
  <si>
    <t>EU.ST1287070 112</t>
  </si>
  <si>
    <t>EU.ST5014235 12x34x12</t>
  </si>
  <si>
    <t>EU.MY6503 26x16</t>
  </si>
  <si>
    <t>EU.MY6502 32x1</t>
  </si>
  <si>
    <t>EU.ST6136 M30x1.5</t>
  </si>
  <si>
    <t>EU.ST3273035 16x2x12</t>
  </si>
  <si>
    <t>EU.ST3042125 2x34x12</t>
  </si>
  <si>
    <t>EU.ST3042135 3x34x12</t>
  </si>
  <si>
    <t>EU.ST3042275 2x1x12</t>
  </si>
  <si>
    <t>EU.ST3042285 3x1x12</t>
  </si>
  <si>
    <t>EU.ST3078125 2x34x12</t>
  </si>
  <si>
    <t>EU.ST3078135 3x34x12</t>
  </si>
  <si>
    <t>EU.ST3078145 4x34x12</t>
  </si>
  <si>
    <t>EU.ST3078275 2x1x12</t>
  </si>
  <si>
    <t>EU.ST3078285 3x1x12</t>
  </si>
  <si>
    <t>EU.ST3078295 4x1x12</t>
  </si>
  <si>
    <t>EU.ST3093230 34x12x12</t>
  </si>
  <si>
    <t>EU.ST3093240 1x12x12</t>
  </si>
  <si>
    <t>EU.ST3093250 114x12x12</t>
  </si>
  <si>
    <t>EU.ST6081351 1x34x3</t>
  </si>
  <si>
    <t>EU.ST6081451 1x34x4</t>
  </si>
  <si>
    <t>EU.ST6081551 1x34x5</t>
  </si>
  <si>
    <t>EU.ST6081651 1x34x6</t>
  </si>
  <si>
    <t>EU.ST6081751 1x34x7</t>
  </si>
  <si>
    <t>EU.ST6081851 1x34x8</t>
  </si>
  <si>
    <t>EU.ST6081361 114x34x3</t>
  </si>
  <si>
    <t>EU.ST6081461 114x34x4</t>
  </si>
  <si>
    <t>EU.ST6081561 114x34x5</t>
  </si>
  <si>
    <t>EU.ST6081661 114x34x6</t>
  </si>
  <si>
    <t>EU.ST6081761 114x34x7</t>
  </si>
  <si>
    <t>EU.ST6081861 114x34x8</t>
  </si>
  <si>
    <t>EU.ST6079350 1x34x3</t>
  </si>
  <si>
    <t>EU.ST6079450 1x34x4</t>
  </si>
  <si>
    <t>EU.ST6079550 1x34x5</t>
  </si>
  <si>
    <t>EU.ST6079650 1x34x6</t>
  </si>
  <si>
    <t>EU.ST6079750 1x34x7</t>
  </si>
  <si>
    <t>EU.ST6079850 1x34x8</t>
  </si>
  <si>
    <t>EU.ST6079360 114x34x3</t>
  </si>
  <si>
    <t>EU.ST6079460 114x34x4</t>
  </si>
  <si>
    <t>EU.ST6079560 114x34x5</t>
  </si>
  <si>
    <t>EU.ST6079660 114x34x6</t>
  </si>
  <si>
    <t>EU.ST6079760 114x34x7</t>
  </si>
  <si>
    <t>EU.ST6079860 114x34x8</t>
  </si>
  <si>
    <t>EU.ST3092340 13x12x3</t>
  </si>
  <si>
    <t>EU.ST3092440 34x12x4</t>
  </si>
  <si>
    <t>EU.ST3092540 34x12x5</t>
  </si>
  <si>
    <t>EU.ST3092640 34x12x6</t>
  </si>
  <si>
    <t>EU.ST3092740 34x12x7</t>
  </si>
  <si>
    <t>EU.ST3092840 34x12x8</t>
  </si>
  <si>
    <t>EU.ST3092350 1x12x3</t>
  </si>
  <si>
    <t>EU.ST3092450 1x12x4</t>
  </si>
  <si>
    <t>EU.ST3092550 1x12x5</t>
  </si>
  <si>
    <t>EU.ST3092650 1x12x6</t>
  </si>
  <si>
    <t>EU.ST3092750 1x12x7</t>
  </si>
  <si>
    <t>EU.ST3092850 1x12x8</t>
  </si>
  <si>
    <t>EU.ST3092360 114x12x3</t>
  </si>
  <si>
    <t>EU.ST3092460 114x12x4</t>
  </si>
  <si>
    <t>EU.ST3092560 114x12x5</t>
  </si>
  <si>
    <t>EU.ST3092660 114x12x6</t>
  </si>
  <si>
    <t>EU.ST3092760 114x12x7</t>
  </si>
  <si>
    <t>EU.ST3092860 114x12x8</t>
  </si>
  <si>
    <t>EU.ST8009030 12x01x20</t>
  </si>
  <si>
    <t>EU.ST8009040 19x012x15</t>
  </si>
  <si>
    <t>EU.ST3050185 114x34</t>
  </si>
  <si>
    <t>EU.ST3050195 114x1</t>
  </si>
  <si>
    <t>EU.ST3050165 1x12</t>
  </si>
  <si>
    <t>EU.ST3050175 1x34</t>
  </si>
  <si>
    <t>EU.ST3013335 112x114</t>
  </si>
  <si>
    <t>EU.ST3013195 114x1</t>
  </si>
  <si>
    <t>EU.ST3271015 12x10</t>
  </si>
  <si>
    <t>EU.ST3271025 12x15</t>
  </si>
  <si>
    <t>EU.ST3271035 12x20</t>
  </si>
  <si>
    <t>EU.ST3271055 12x30</t>
  </si>
  <si>
    <t>EU.ST3271075 12x40</t>
  </si>
  <si>
    <t>EU.ST3271095 12x50</t>
  </si>
  <si>
    <t>EU.ST3040230 12x16</t>
  </si>
  <si>
    <t>EU.ST3040330 12x18</t>
  </si>
  <si>
    <t>EU.ST3040430 12x20</t>
  </si>
  <si>
    <t>EU.ST3040240 34x20</t>
  </si>
  <si>
    <t>EU.ST3047065 114</t>
  </si>
  <si>
    <t>EU.ST3046075 112</t>
  </si>
  <si>
    <t>EU.ST3037080 12x80</t>
  </si>
  <si>
    <t>EU.ST3026030 12</t>
  </si>
  <si>
    <t>EU.ST6044050 1</t>
  </si>
  <si>
    <t>EU.ST4082045 34</t>
  </si>
  <si>
    <t>EU.ST6026045 34</t>
  </si>
  <si>
    <t>Распродажа</t>
  </si>
  <si>
    <t>1. Запорная и предохранительная арматура</t>
  </si>
  <si>
    <t>4. Радиаторная арматура</t>
  </si>
  <si>
    <t>2. Резьбовые фитинги</t>
  </si>
  <si>
    <t/>
  </si>
  <si>
    <t>EU.ST700204034</t>
  </si>
  <si>
    <t>EU.ST70010501</t>
  </si>
  <si>
    <t>EU.ST700104034</t>
  </si>
  <si>
    <t>EU.ST6081951 1x34x9</t>
  </si>
  <si>
    <t>EU.ST6081352 1x34x3</t>
  </si>
  <si>
    <t>EU.ST6081051 1x34x10</t>
  </si>
  <si>
    <t>EU.ST6045060 114</t>
  </si>
  <si>
    <t>EU.ST6044060 114</t>
  </si>
  <si>
    <t>EU.ST6043060 114</t>
  </si>
  <si>
    <t>EU.ST6026055 1</t>
  </si>
  <si>
    <t>EU.ST4108080 2</t>
  </si>
  <si>
    <t>EU.ST4108060 114</t>
  </si>
  <si>
    <t>EU.ST4108050 1</t>
  </si>
  <si>
    <t>EU.ST4108040 34</t>
  </si>
  <si>
    <t>EU.ST4108030 12</t>
  </si>
  <si>
    <t>EU.ST4082055 1</t>
  </si>
  <si>
    <t>EU.ST4082035 12</t>
  </si>
  <si>
    <t>EU.ST4023045 34</t>
  </si>
  <si>
    <t>EU.ST4023035 12</t>
  </si>
  <si>
    <t>EU.ST3095250 12x250</t>
  </si>
  <si>
    <t>EU.ST3095200 12x200</t>
  </si>
  <si>
    <t>EU.ST3095150 12x150</t>
  </si>
  <si>
    <t>EU.ST3095100 12x100</t>
  </si>
  <si>
    <t>EU.ST3095080 12x80</t>
  </si>
  <si>
    <t>EU.ST3094150 34x12</t>
  </si>
  <si>
    <t>EU.ST3059175 34</t>
  </si>
  <si>
    <t>EU.ST3059155 12</t>
  </si>
  <si>
    <t>EU.ST3047085 2</t>
  </si>
  <si>
    <t>EU.ST3046415 2</t>
  </si>
  <si>
    <t>EU.ST3046345 112</t>
  </si>
  <si>
    <t>EU.ST3045085 2</t>
  </si>
  <si>
    <t>EU.ST3038085 2</t>
  </si>
  <si>
    <t>EU.ST3037250 12x250</t>
  </si>
  <si>
    <t>EU.ST3037200 12x200</t>
  </si>
  <si>
    <t>EU.ST3037100 12x100</t>
  </si>
  <si>
    <t>EU.ST3037060 12x60</t>
  </si>
  <si>
    <t>EU.ST3033045 34</t>
  </si>
  <si>
    <t>EU.ST3033035 12</t>
  </si>
  <si>
    <t>EU.ST3024085 2</t>
  </si>
  <si>
    <t>EU.ST3024075 112</t>
  </si>
  <si>
    <t>EU.ST3024065 114</t>
  </si>
  <si>
    <t>EU.ST3022065 114</t>
  </si>
  <si>
    <t>EU.ST3022055 1</t>
  </si>
  <si>
    <t>EU.ST3022045 34</t>
  </si>
  <si>
    <t>EU.ST3022035 12</t>
  </si>
  <si>
    <t>EU.ST3021085 2</t>
  </si>
  <si>
    <t>EU.ST3021075 112</t>
  </si>
  <si>
    <t>EU.ST3019085 2</t>
  </si>
  <si>
    <t>EU.ST3019075 112</t>
  </si>
  <si>
    <t>EU.ST3019065 114</t>
  </si>
  <si>
    <t>EU.ST3018337 112x114</t>
  </si>
  <si>
    <t>EU.ST3018335 112x114</t>
  </si>
  <si>
    <t>EU.ST3017085 2</t>
  </si>
  <si>
    <t>EU.ST3017075 112</t>
  </si>
  <si>
    <t>EU.ST3017065 114</t>
  </si>
  <si>
    <t>EU.ST3015085 2</t>
  </si>
  <si>
    <t>EU.ST3015075 112</t>
  </si>
  <si>
    <t>EU.ST3014085 2</t>
  </si>
  <si>
    <t>EU.ST3014075 112</t>
  </si>
  <si>
    <t>EU.ST3013485 2x12</t>
  </si>
  <si>
    <t>EU.ST3013175 114x1</t>
  </si>
  <si>
    <t>EU.ST3012325 114x12</t>
  </si>
  <si>
    <t>EU.ST1284041 34</t>
  </si>
  <si>
    <t>EU.ST1282051 1</t>
  </si>
  <si>
    <t>EU.ST1282041 34</t>
  </si>
  <si>
    <t>EU.ST1282031 12</t>
  </si>
  <si>
    <t>EU.FD6123040 34</t>
  </si>
  <si>
    <t>EU.FD6123030 12</t>
  </si>
  <si>
    <t>EU.FD6122040 34</t>
  </si>
  <si>
    <t>EU.FD6122030 12</t>
  </si>
  <si>
    <t>EU.FD4009087 2</t>
  </si>
  <si>
    <t>EU.FD4009077 112</t>
  </si>
  <si>
    <t>EU.FD4009067 114</t>
  </si>
  <si>
    <t>EU.FD4009057 1</t>
  </si>
  <si>
    <t>EU.FD4009047 34</t>
  </si>
  <si>
    <t>EU.FD4009037 12</t>
  </si>
  <si>
    <t>EU.ST7001040  34</t>
  </si>
  <si>
    <t>EU.ST7002050  1</t>
  </si>
  <si>
    <t>EU.16x2 - 100</t>
  </si>
  <si>
    <t>EU.16x2 - 20</t>
  </si>
  <si>
    <t>EU.16x2 - 60</t>
  </si>
  <si>
    <t>EU.16x2 - 80</t>
  </si>
  <si>
    <t>EU.26x3 - 10</t>
  </si>
  <si>
    <t>EU.32x3 - 10</t>
  </si>
  <si>
    <t>EU.ST6252040 1</t>
  </si>
  <si>
    <t>&gt;&gt;&gt;&gt;&gt;</t>
  </si>
  <si>
    <t xml:space="preserve">     • Шаровые краны Comfort</t>
  </si>
  <si>
    <t xml:space="preserve">     • Задвижки и вентили</t>
  </si>
  <si>
    <t xml:space="preserve">     • Обратные клапаны</t>
  </si>
  <si>
    <t xml:space="preserve">УВАЖАЕМЫЕ ПАРТНЕРЫ! </t>
  </si>
  <si>
    <t>• Уплотнение штока усилено сальниковой гайкой.</t>
  </si>
  <si>
    <t>EU.ST1282060 114_k</t>
  </si>
  <si>
    <t>EU.ST1282080 2_k</t>
  </si>
  <si>
    <t>EU.ST1283060 114_k</t>
  </si>
  <si>
    <t>EU.ST1283070 112_k</t>
  </si>
  <si>
    <t>EU.ST1283080 2_k</t>
  </si>
  <si>
    <t>EU.ST1284030 12_k</t>
  </si>
  <si>
    <t>EU.ST1285030 12_k</t>
  </si>
  <si>
    <t>EU.ST1286030 12_k</t>
  </si>
  <si>
    <t>EU.ST1287030 12_k</t>
  </si>
  <si>
    <t>EU.ST6122030 12_k</t>
  </si>
  <si>
    <t>EU.ST6122040 34_k</t>
  </si>
  <si>
    <t>EU.ST6123030 12_k</t>
  </si>
  <si>
    <t>EU.ST6123040 34_k</t>
  </si>
  <si>
    <t>EU.ST6015045 12_k</t>
  </si>
  <si>
    <t>EU.ST6014045 12_k</t>
  </si>
  <si>
    <t>EU.ST6130030 12_k</t>
  </si>
  <si>
    <t>EU.ST6130040 34_k</t>
  </si>
  <si>
    <t>EU.ST6131030 12_k</t>
  </si>
  <si>
    <t>EU.ST6131040 34_k</t>
  </si>
  <si>
    <t>EU.ST6026035 12_k</t>
  </si>
  <si>
    <t>EU.ST6026045 34_k</t>
  </si>
  <si>
    <t>EU.ST6026055 1_k</t>
  </si>
  <si>
    <t>EU.ST6199030 12_k</t>
  </si>
  <si>
    <t>EU.ST6070030 12_k</t>
  </si>
  <si>
    <t>EU.ST6042031 12_k</t>
  </si>
  <si>
    <t>EU.ST6134030 12_k</t>
  </si>
  <si>
    <t>EU.ST6134040 34_k</t>
  </si>
  <si>
    <t>EU.ST6154030 12_k</t>
  </si>
  <si>
    <t>EU.ST6154040 34_k</t>
  </si>
  <si>
    <t>EU.ST6162030 12_k</t>
  </si>
  <si>
    <t>EU.ST6162040 34_k</t>
  </si>
  <si>
    <t>EU.ST6253301 12_k</t>
  </si>
  <si>
    <t>EU.ST6253302 34_k</t>
  </si>
  <si>
    <t>EU.ST6253311 12_k</t>
  </si>
  <si>
    <t>EU.ST6253305_k</t>
  </si>
  <si>
    <t>EU.ST6253306_k</t>
  </si>
  <si>
    <t>Код ТМР</t>
  </si>
  <si>
    <t>EU.ST6136 M30x1.5_k</t>
  </si>
  <si>
    <t>EU.ST6198030 12_k</t>
  </si>
  <si>
    <t>&lt;&lt;&lt; назад</t>
  </si>
  <si>
    <t>Задвижка применяется в качестве запорно-регулирующей арматуры для трубопроводов питьевого и хозяйственно-питьевого назначения,  отопления, горячего водоснабжения, сжатого воздуха и других  не агрессивных к материлам задвижки рабочих сред.  Клиновидная конструкция запирающего механизма позволяет плавно изменять условный проход,  регулировать расход при сравнительно невысоком сопротивлении потоку.</t>
  </si>
  <si>
    <t>Клапан применяется в качестве запорно-регулирующей арматуры для систем питьевого и хозяйственно-питьевого назначения,  отопления, горячего водоснабжения, паропроводах низкого давления и для других систем  транспортировки жидкостей не агрессивных к материлам клапана. Конструкция запирающего механизма в форме конуса позволяет  плавно изменять сопротивление клапана.</t>
  </si>
  <si>
    <t>• Уплотнение штока клапана изготовлено из фторопласта 4 (P.T.F.E);</t>
  </si>
  <si>
    <r>
      <t>1 1/4</t>
    </r>
    <r>
      <rPr>
        <b/>
        <sz val="10"/>
        <rFont val="Times New Roman"/>
        <family val="1"/>
      </rPr>
      <t>"</t>
    </r>
  </si>
  <si>
    <r>
      <t xml:space="preserve"> 1 1/2</t>
    </r>
    <r>
      <rPr>
        <b/>
        <sz val="10"/>
        <rFont val="Times New Roman"/>
        <family val="1"/>
      </rPr>
      <t>"</t>
    </r>
  </si>
  <si>
    <r>
      <t>2</t>
    </r>
    <r>
      <rPr>
        <b/>
        <sz val="10"/>
        <rFont val="Times New Roman"/>
        <family val="1"/>
      </rPr>
      <t>"</t>
    </r>
  </si>
  <si>
    <r>
      <t>1 1/4</t>
    </r>
    <r>
      <rPr>
        <b/>
        <sz val="10"/>
        <rFont val="Calibri"/>
        <family val="2"/>
        <charset val="204"/>
      </rPr>
      <t>"</t>
    </r>
  </si>
  <si>
    <t>Вентиль регулировочный латунный муфтовый</t>
  </si>
  <si>
    <t>• Резьба: трубная (дюймовая) цилиндрическая по ГОСТ 6357 (класс точности «В»), соответствует стандарту ISO 228-1.</t>
  </si>
  <si>
    <t xml:space="preserve">Сгон латунный хромированный </t>
  </si>
  <si>
    <t>(Отводы 3/4"НР  EUROKONUS , межцентровое расстояние 50 мм)</t>
  </si>
  <si>
    <t>(Отводы 3/4" НР EUROKONUS, межцентровое расстояние 50 мм)</t>
  </si>
  <si>
    <t xml:space="preserve">     • Запорные вентили</t>
  </si>
  <si>
    <t xml:space="preserve">     • Ручные и H-образные клапаны</t>
  </si>
  <si>
    <t xml:space="preserve">     • Термогегулирующие клапаны</t>
  </si>
  <si>
    <t xml:space="preserve">     • Термоголовки</t>
  </si>
  <si>
    <t xml:space="preserve"> - автоматически: при комплектации термостатической головкой EU.ST6136 в зависимости от температуры внутреннего воздуха в помещении.</t>
  </si>
  <si>
    <t>• Уплотнение штока задвижки изготовлено из фторопласта 4 (P.T.F.E);</t>
  </si>
  <si>
    <t>•  Корпус и детали, контактирующие с рабочей средой выполнены из горячепресованной латуни CW617N (cодержание свинца &lt; 2,2%)</t>
  </si>
  <si>
    <r>
      <t>Макс. рабочая температура: 110</t>
    </r>
    <r>
      <rPr>
        <sz val="9"/>
        <rFont val="Calibri"/>
        <family val="2"/>
        <charset val="204"/>
      </rPr>
      <t>⁰C</t>
    </r>
  </si>
  <si>
    <r>
      <t>Точность регулировки:  1</t>
    </r>
    <r>
      <rPr>
        <sz val="9"/>
        <rFont val="Calibri"/>
        <family val="2"/>
        <charset val="204"/>
      </rPr>
      <t>° C</t>
    </r>
  </si>
  <si>
    <r>
      <t>6</t>
    </r>
    <r>
      <rPr>
        <sz val="9"/>
        <rFont val="Calibri"/>
        <family val="2"/>
        <charset val="204"/>
      </rPr>
      <t>⁰С</t>
    </r>
  </si>
  <si>
    <r>
      <t>Жидкостная с диапазоном регулировки 6…28</t>
    </r>
    <r>
      <rPr>
        <sz val="10"/>
        <rFont val="Calibri"/>
        <family val="2"/>
        <charset val="204"/>
      </rPr>
      <t>⁰С</t>
    </r>
  </si>
  <si>
    <t>Фильтры применяются для очистки потока от механических примесей в системах трубопроводов горячей и холодной воды, сжатого воздуха, масла и жидких углеводородов при температуре транспортируемой среды до 150⁰С.</t>
  </si>
  <si>
    <t>Фильтр тонкой очистки, промывной, с прозрачной плексигласовой колбой  и манометром 0-16 бар, сетка 100 мкм</t>
  </si>
  <si>
    <t xml:space="preserve">Предохранительный клапан предназначен для сброса избыточного давления рабочей среды в отводящий трубопровод или атмосферу на  водогрейных котлах, емкостях, трубопроводах и системах тепловой мощностью до 35 кВт. В качестве рабочей среды может использоваться вода, воздух, этиленгликоль, пропиленгликоль. </t>
  </si>
  <si>
    <t xml:space="preserve">• Корпус выполнен из высокопрочной горячепрессованной латуни CW617N стандарта EN12165.                                                                                    </t>
  </si>
  <si>
    <t>• Заводская настройка клапана 3 бара.</t>
  </si>
  <si>
    <t xml:space="preserve">     • Фильтры механические</t>
  </si>
  <si>
    <t xml:space="preserve">     • Фильтры тонкой очистки</t>
  </si>
  <si>
    <t xml:space="preserve">     • Воздухоотводчики</t>
  </si>
  <si>
    <t xml:space="preserve">     • Предохранительные клапаны</t>
  </si>
  <si>
    <t xml:space="preserve">     • Редуктор давления</t>
  </si>
  <si>
    <t>3. Коллекторы</t>
  </si>
  <si>
    <t>5. Комплектующие для радиаторов</t>
  </si>
  <si>
    <t xml:space="preserve">     • Комплекты для монтажа</t>
  </si>
  <si>
    <t xml:space="preserve">     • Комплектующие</t>
  </si>
  <si>
    <t>Фильтры сетчатые тонкой очистки и возможностью прямой промывки в основном применяются вводе холодного и горячего водоснабжения в жилые и хозяйственные помещения. Применение на коммерческих, промышленных, технологических   и иных трубопроводах возможно исключительно при соответствии рабочей среды с техническими параметрами фильтров.</t>
  </si>
  <si>
    <t>• Корпуса фильтров выполнены из горячепрессованной латуни CW617N стандарта EN12165 и дополнительно оснащены полусгонами.</t>
  </si>
  <si>
    <t>• Конструкция фильтрующего элемента и корпуса позволяют не прекращать водоснабжение при промывке - открытом сливном кране.</t>
  </si>
  <si>
    <t>Фильтры сетчатые тонкой очистки и возможностью прямой промывки в основном применяются вводе холодного водоснабжения в жилые и хозяйственные помещения. Применение на коммерческих, промышленных,   технологических и иных трубопроводах  возможно исключительно при соответствии рабочей среды с техническими параметрами фильтров.</t>
  </si>
  <si>
    <t>• Конструкция фильтрующего элемента и корпуса позволяют не прекращать водоснабжение при промывке открытом сливном кране.</t>
  </si>
  <si>
    <r>
      <t>Макс. рабочая температура: 115</t>
    </r>
    <r>
      <rPr>
        <sz val="9"/>
        <rFont val="Calibri"/>
        <family val="2"/>
        <charset val="204"/>
      </rPr>
      <t>⁰C</t>
    </r>
  </si>
  <si>
    <t>Пресс фитинги предназначены для создания неразъёмных соединений трубопроводов из металлопластиковых труб (PEX-AL-PEX, PE-AL, PERT-AL). Допускается замоноличивание пресс фитингов в строительные конструкции.</t>
  </si>
  <si>
    <t>РАСПРОДАЖА</t>
  </si>
  <si>
    <t xml:space="preserve">     • Группа безопасности</t>
  </si>
  <si>
    <t>EU.RU6252040</t>
  </si>
  <si>
    <t>EU.RU6252030 180x7</t>
  </si>
  <si>
    <t xml:space="preserve">     • Арматура для бытовой техники</t>
  </si>
  <si>
    <t>EU.ST6254040_k</t>
  </si>
  <si>
    <t>ТРУБОПРОВОДНАЯ АРМАТУРА</t>
  </si>
  <si>
    <t>Максимальное рабочее давление : 40 бар</t>
  </si>
  <si>
    <t>Диапазон рабочих температур: от -10 до +110⁰C</t>
  </si>
  <si>
    <t>РИЦ</t>
  </si>
  <si>
    <r>
      <t xml:space="preserve">Цена, </t>
    </r>
    <r>
      <rPr>
        <b/>
        <sz val="10"/>
        <color rgb="FF15314F"/>
        <rFont val="Calibri"/>
        <family val="2"/>
        <charset val="204"/>
      </rPr>
      <t>₽</t>
    </r>
  </si>
  <si>
    <t xml:space="preserve">     • Шаровые краны</t>
  </si>
  <si>
    <r>
      <t>Диапазон температур: -10</t>
    </r>
    <r>
      <rPr>
        <sz val="9"/>
        <rFont val="Calibri"/>
        <family val="2"/>
        <charset val="204"/>
      </rPr>
      <t>⁰C +100⁰C</t>
    </r>
  </si>
  <si>
    <t>Рабочее давление: 40 bar</t>
  </si>
  <si>
    <t>Клапаны обратные пружинные предназначены для установки на гидравлических и пневматических трубопроводных сетях и пропуска транспортируемой среды только в одном направлении. В качестве транспортируемой среды может использоваться сжатый воздух, холодная и горячая вода и прочие жидкости, не агрессивные к материалу клапана.</t>
  </si>
  <si>
    <t>EU.ST3078125 2x34x12_k</t>
  </si>
  <si>
    <t>EU.ST3078135 3x34x12_k</t>
  </si>
  <si>
    <t>EU.ST3078145 4x34x12_k</t>
  </si>
  <si>
    <t>EU.ST3078275 2x1x12_k</t>
  </si>
  <si>
    <t>EU.ST3078285 3x1x12_k</t>
  </si>
  <si>
    <t>EU.ST3078295 4x1x12_k</t>
  </si>
  <si>
    <t>EU.ST3042125 2x34x12_k</t>
  </si>
  <si>
    <t>EU.ST3042135 3x34x12_k</t>
  </si>
  <si>
    <t>EU.ST3042275 2x1x12_k</t>
  </si>
  <si>
    <t>EU.ST3042285 3x1x12_k</t>
  </si>
  <si>
    <t>EU.ST3273035 16x2x12_k</t>
  </si>
  <si>
    <t>EU.ST3287030 16x2x34_k</t>
  </si>
  <si>
    <t>EU.ST3288030 16x2x34_k</t>
  </si>
  <si>
    <t xml:space="preserve"> • Заводские настройки предельного давления для открытия: 3 бара, 6 бар.</t>
  </si>
  <si>
    <t xml:space="preserve">• Номинальная тепловая нагрузка предохраняемой системы - с клапаном 1/2" - не более 50 кВт
</t>
  </si>
  <si>
    <t>• Корпус вентилей выполнен из высокопрочной горячепрессованной латуни</t>
  </si>
  <si>
    <t>Размеры фильтрующих ячеек: 300 и 500 мкм</t>
  </si>
  <si>
    <t>Диапазон рабочих температур: -10…+110⁰С</t>
  </si>
  <si>
    <t>EU.ST6079350 1x34x3_k</t>
  </si>
  <si>
    <t>EU.ST6079450 1x34x4_k</t>
  </si>
  <si>
    <t>EU.ST6079550 1x34x5_k</t>
  </si>
  <si>
    <t>EU.ST6079650 1x34x6_k</t>
  </si>
  <si>
    <t>EU.ST6079750 1x34x7_k</t>
  </si>
  <si>
    <t>EU.ST6079850 1x34x8_k</t>
  </si>
  <si>
    <t>EU.ST6081351 1x34x3_k</t>
  </si>
  <si>
    <t>EU.ST6081451 1x34x4_k</t>
  </si>
  <si>
    <t>EU.ST6081551 1x34x5_k</t>
  </si>
  <si>
    <t>EU.ST6081651 1x34x6_k</t>
  </si>
  <si>
    <t>EU.ST6081751 1x34x7_k</t>
  </si>
  <si>
    <t>EU.ST6081851 1x34x8_k</t>
  </si>
  <si>
    <t>Основное назначение вентиля - регулирование расхода теплоносителя через отопительные приборы. Регулирующие вентили предназначены для пользовательской регулировки расхода.</t>
  </si>
  <si>
    <t>(внутренняя резьба)</t>
  </si>
  <si>
    <t>Корпус: латунь никелированная горячепресованная CW617N (Содержание свинца &lt; 2,2%)</t>
  </si>
  <si>
    <t>• Корпус и детали, контактирующие с рабочей средой 
выполнены из горячепресованной латуни CW617N (cодержание свинца &lt; 2,2%)</t>
  </si>
  <si>
    <t>EU.ST3287040 20x2x34_k</t>
  </si>
  <si>
    <t>EU.ST3288040 20x2x34_k</t>
  </si>
  <si>
    <t>EU.ST6047040 12_k</t>
  </si>
  <si>
    <t>Число оборотов до полного закрытия - 5; Класс герметичности затвора - "A".</t>
  </si>
  <si>
    <t>1 1/4"x3/4"х3</t>
  </si>
  <si>
    <t>1 1/4"x3/4"х4</t>
  </si>
  <si>
    <t>1 1/4"x3/4"х5</t>
  </si>
  <si>
    <t>1 1/4"x3/4"х6</t>
  </si>
  <si>
    <t>1 1/4"x3/4"х7</t>
  </si>
  <si>
    <t>1 1/4"x3/4"х8</t>
  </si>
  <si>
    <t>1"x3/4"х8</t>
  </si>
  <si>
    <t>1"x3/4"х7</t>
  </si>
  <si>
    <t>1"x3/4"х6</t>
  </si>
  <si>
    <t>1"x3/4"х5</t>
  </si>
  <si>
    <t>1"x3/4"х3</t>
  </si>
  <si>
    <t>1"x3/4"х4</t>
  </si>
  <si>
    <t>EU.ST6211040 34_k</t>
  </si>
  <si>
    <t>EU.ST6211050 1_k</t>
  </si>
  <si>
    <t>EU.ST6240040 34_k</t>
  </si>
  <si>
    <t>EU.ST6240050 1_k</t>
  </si>
  <si>
    <t>EU.YT1282030 12_k</t>
  </si>
  <si>
    <t>EU.YT1282040 34_k</t>
  </si>
  <si>
    <t>EU.YT1282050 1_k</t>
  </si>
  <si>
    <t>EU.YT1282060 114_k</t>
  </si>
  <si>
    <t>EU.YT1282070 112_k</t>
  </si>
  <si>
    <t>EU.YT1282080 2_k</t>
  </si>
  <si>
    <t>EU.YT1282</t>
  </si>
  <si>
    <t>EU.YT1283</t>
  </si>
  <si>
    <t>EU.YT1283030 12_k</t>
  </si>
  <si>
    <t>EU.YT1283040 34_k</t>
  </si>
  <si>
    <t>EU.YT1283050 1_k</t>
  </si>
  <si>
    <t>EU.YT1283060 114_k</t>
  </si>
  <si>
    <t>EU.YT1283070 112_k</t>
  </si>
  <si>
    <t>EU.YT1283080 2_k</t>
  </si>
  <si>
    <t>EU.YT1284030 12_k</t>
  </si>
  <si>
    <t>EU.YT1284040 34_k</t>
  </si>
  <si>
    <t>EU.YT1284050 1_k</t>
  </si>
  <si>
    <t>EU.YT1285030 12_k</t>
  </si>
  <si>
    <t>EU.YT1285040 34_k</t>
  </si>
  <si>
    <t>EU.YT1285050 1_k</t>
  </si>
  <si>
    <t>EU.YT1286030 12_k</t>
  </si>
  <si>
    <t>EU.YT1284</t>
  </si>
  <si>
    <t>EU.YT12850</t>
  </si>
  <si>
    <t>EU.YT12860</t>
  </si>
  <si>
    <t>EU.YT12870</t>
  </si>
  <si>
    <t>EU.YT12880</t>
  </si>
  <si>
    <t>EU.YT10860</t>
  </si>
  <si>
    <t>EU.YT10160</t>
  </si>
  <si>
    <t>EU.YT20750</t>
  </si>
  <si>
    <t>EU.YT1287030 12_k</t>
  </si>
  <si>
    <t>EU.YT1287040 34_k</t>
  </si>
  <si>
    <t>EU.YT1287050 1_k</t>
  </si>
  <si>
    <t>EU.YT1288030 12_k</t>
  </si>
  <si>
    <t>EU.YT1288040 34_k</t>
  </si>
  <si>
    <t>EU.YT1288050 1_k</t>
  </si>
  <si>
    <t>EU.YT10890</t>
  </si>
  <si>
    <t>EU.YT50550</t>
  </si>
  <si>
    <t>EU.YT50142</t>
  </si>
  <si>
    <t>EU.YT10580</t>
  </si>
  <si>
    <t>EU.YT4056</t>
  </si>
  <si>
    <t>EU.YT40090</t>
  </si>
  <si>
    <t>EU.YT4009037 12_k</t>
  </si>
  <si>
    <t>EU.YT4009047 34_k</t>
  </si>
  <si>
    <t>EU.YT4009057 1_k</t>
  </si>
  <si>
    <t>EU.YT4022</t>
  </si>
  <si>
    <t>EU.ST6121030 12_k</t>
  </si>
  <si>
    <t>EU.YT4009067 114_k</t>
  </si>
  <si>
    <t>EU.YT4022035 12_k</t>
  </si>
  <si>
    <t>EU.YT4022045 34_k</t>
  </si>
  <si>
    <t>EU.ST6022033 12_k</t>
  </si>
  <si>
    <t>EU.ST6033045 34_k</t>
  </si>
  <si>
    <t>EU.ST6196030 12_k</t>
  </si>
  <si>
    <t>EU.ST6033035 12_k</t>
  </si>
  <si>
    <t>EU.ST6186031 12_k</t>
  </si>
  <si>
    <t>EU.ST6186032 12_k</t>
  </si>
  <si>
    <t>Редуктор давления поршневой, пружинный с отверстием 3/8" под манометр</t>
  </si>
  <si>
    <t>EU.ST6197030 12_k</t>
  </si>
  <si>
    <t>EU.ST6197040 34_k</t>
  </si>
  <si>
    <t>Воздухоотводчик предназначен для автоматического удаления воздуха и иных газов из систем водяного отопления, холодногои горячего водоснабжения.
Воздухоотводчик может быть установлен на трубопроводах, транспортирующих жидкости неагрессивные к материалам воздухоотводчика (вода, пропиленгликоль, этиленгликоль и др.)</t>
  </si>
  <si>
    <t>Предназначены для защиты закрытых систем отопления  с тепловой мощностью до 50 кВт от избыточного давления и завоздушивания.
Представляют собой  предохранительный клапан, автоматический водухоотводчик (с запорным клапаном) и манометр смонтированные на латунной консоли. Присоединения консоли к системе стандартная трубная внутренняя резьба. Монтаж вертикальном положении  на участке трубопровода выше котла.    
Установка запорной арматуры между котлом и группой безопасности недопустима.</t>
  </si>
  <si>
    <t>EU.RU6252031 180x7 (узкий)</t>
  </si>
  <si>
    <t>Размеры фильтрующих ячеек:  500 мкм</t>
  </si>
  <si>
    <t>3/8" х 1/4"</t>
  </si>
  <si>
    <t>EU.ST6022030 12</t>
  </si>
  <si>
    <t>EU.ST1058034 12</t>
  </si>
  <si>
    <t>Воздухоотводчик автоматический. Наружная резьба</t>
  </si>
  <si>
    <t>Кран шаровый  1 1/4" латунный коллекторный с  термометром (диапазон 0-80 ⁰С, D=40 мм), угловой</t>
  </si>
  <si>
    <r>
      <t>Кран шаровый 1 1/4" латунный коллекторный с  термометром (диапазон 0-80 ⁰С, D=40 мм)</t>
    </r>
    <r>
      <rPr>
        <b/>
        <sz val="10"/>
        <rFont val="Calibri"/>
        <family val="2"/>
        <charset val="204"/>
      </rPr>
      <t>, проходной</t>
    </r>
  </si>
  <si>
    <t xml:space="preserve">Воздухоотводчик автоматический. Наружная резьба 1/2". </t>
  </si>
  <si>
    <t>Дренажный шаровой кран с пробкой. Наружная резьба 1/2"</t>
  </si>
  <si>
    <t>Ваша скидка:</t>
  </si>
  <si>
    <r>
      <t xml:space="preserve">Блок коллекторный </t>
    </r>
    <r>
      <rPr>
        <b/>
        <sz val="9.5"/>
        <color rgb="FFE50046"/>
        <rFont val="Calibri"/>
        <family val="2"/>
        <charset val="204"/>
        <scheme val="minor"/>
      </rPr>
      <t>1 1/4"</t>
    </r>
    <r>
      <rPr>
        <b/>
        <sz val="9.5"/>
        <rFont val="Calibri"/>
        <family val="2"/>
        <charset val="204"/>
        <scheme val="minor"/>
      </rPr>
      <t xml:space="preserve"> с термостатическими вставками M30x1,5, запорными клапанами, воздухоотводчиками и дренажем                                                                   </t>
    </r>
  </si>
  <si>
    <r>
      <t xml:space="preserve">Блок коллекторный </t>
    </r>
    <r>
      <rPr>
        <b/>
        <sz val="10"/>
        <color rgb="FFE50046"/>
        <rFont val="Calibri"/>
        <family val="2"/>
        <charset val="204"/>
        <scheme val="minor"/>
      </rPr>
      <t>1 1/4"</t>
    </r>
    <r>
      <rPr>
        <b/>
        <sz val="10"/>
        <rFont val="Calibri"/>
        <family val="2"/>
        <charset val="204"/>
        <scheme val="minor"/>
      </rPr>
      <t xml:space="preserve">с шаровыми кранами с термометром, термостатическими вставками M30x1,5, расходомерами, воздухоотводчиками и дренажем </t>
    </r>
  </si>
  <si>
    <t>Кран шаровой  водоразборный (ручка - рычаг)</t>
  </si>
  <si>
    <t>Кран шаровой c дренажём  (ручка - рычаг)</t>
  </si>
  <si>
    <t>Кран шаровой  угловой  с полусгоном (ручка-бабочка)</t>
  </si>
  <si>
    <t>Кран шаровой с полусгоном    (ручка-бабочка для диаметров до 1 1/4" и рычаг для диаметров свыше 1 1/4" )</t>
  </si>
  <si>
    <t>Кран шаровой  (ручка-бабочка)</t>
  </si>
  <si>
    <t>Кран шаровой (ручка -  рычаг)</t>
  </si>
  <si>
    <t>EU.YT4056035 12_k</t>
  </si>
  <si>
    <t>EU.YT4056045 34_k</t>
  </si>
  <si>
    <t>EU.YT4056055 1_k</t>
  </si>
  <si>
    <t>EU.YT4056065 114_k</t>
  </si>
  <si>
    <r>
      <t xml:space="preserve">Краны шаровые применяются в качестве запорной арматуры на трубопроводах систем питьевого и хозяйственно-питьевого назначения, горячего водоснабжения, отопления, сжатого воздуха, жидких углеводородов, а также на технологических трубопроводах, транспортирующих жидкости, не агрессивные к материалам крана. 
</t>
    </r>
    <r>
      <rPr>
        <b/>
        <sz val="9"/>
        <color rgb="FFC00000"/>
        <rFont val="Calibri"/>
        <family val="2"/>
        <charset val="204"/>
      </rPr>
      <t>!!! Использование шаровых кранов в качестве регулирующей арматуры не допускается.</t>
    </r>
  </si>
  <si>
    <r>
      <t xml:space="preserve">Блок коллекторный </t>
    </r>
    <r>
      <rPr>
        <b/>
        <sz val="10"/>
        <color rgb="FFE50046"/>
        <rFont val="Calibri"/>
        <family val="2"/>
        <charset val="204"/>
        <scheme val="minor"/>
      </rPr>
      <t>1"</t>
    </r>
    <r>
      <rPr>
        <b/>
        <sz val="10"/>
        <rFont val="Calibri"/>
        <family val="2"/>
        <charset val="204"/>
        <scheme val="minor"/>
      </rPr>
      <t xml:space="preserve"> с термостатическими вставками M30x1,5, расходомерами, воздухоотводчиками и дренажем </t>
    </r>
  </si>
  <si>
    <r>
      <t xml:space="preserve">Блок коллекторный </t>
    </r>
    <r>
      <rPr>
        <b/>
        <sz val="10"/>
        <color rgb="FFE50046"/>
        <rFont val="Calibri"/>
        <family val="2"/>
        <charset val="204"/>
        <scheme val="minor"/>
      </rPr>
      <t>1"</t>
    </r>
    <r>
      <rPr>
        <b/>
        <sz val="10"/>
        <rFont val="Calibri"/>
        <family val="2"/>
        <charset val="204"/>
        <scheme val="minor"/>
      </rPr>
      <t xml:space="preserve"> с термостатическими вставками M30x1,5, запорными клапанами, воздухоотводчиками и дренажем                                                                   </t>
    </r>
  </si>
  <si>
    <r>
      <t xml:space="preserve">Краны шаровые применяются в качестве запорной арматуры на трубопроводах систем питьевого и хозяйственно-питьевого назначения, горячего водоснабжения, отопления, сжатого воздуха, жидких углеводородов, а также на технологических трубопроводах, транспортирующих жидкости, не агрессивные к материалам крана.
</t>
    </r>
    <r>
      <rPr>
        <b/>
        <sz val="9"/>
        <color rgb="FFE50046"/>
        <rFont val="Calibri"/>
        <family val="2"/>
        <charset val="204"/>
        <scheme val="minor"/>
      </rPr>
      <t xml:space="preserve">!!! </t>
    </r>
    <r>
      <rPr>
        <b/>
        <sz val="9"/>
        <color rgb="FFC00000"/>
        <rFont val="Calibri"/>
        <family val="2"/>
        <charset val="204"/>
        <scheme val="minor"/>
      </rPr>
      <t>Использование шаровых кранов в качестве регулирующей арматуры не допускается.</t>
    </r>
  </si>
  <si>
    <t>EU.YT1086035 12_k</t>
  </si>
  <si>
    <t>EU.YT1016032 12_k</t>
  </si>
  <si>
    <t>EU.YT1016042 34_k</t>
  </si>
  <si>
    <t>EU.YT2075030 12_k</t>
  </si>
  <si>
    <t>EU.YT1089030 12_k</t>
  </si>
  <si>
    <t>EU.YT5055030 12x12_k</t>
  </si>
  <si>
    <t>EU.YT5055040 12x34_k</t>
  </si>
  <si>
    <t>EU.YT5014235 12x34x12_k</t>
  </si>
  <si>
    <t>EU.YT1058035 12_k</t>
  </si>
  <si>
    <t>EU.YT1287060 114_k</t>
  </si>
  <si>
    <t>EU.YT1287070 112_k</t>
  </si>
  <si>
    <t>EU.YT1287080 2_k</t>
  </si>
  <si>
    <t>6. Цанговые фитинги</t>
  </si>
  <si>
    <t>7. Пресс-фитинги</t>
  </si>
  <si>
    <t>EU.ST6253311 34_k</t>
  </si>
  <si>
    <t>Соединитель 5-ти выводной для насосов</t>
  </si>
  <si>
    <t>1"x1"x1"x1/4"x1/4"</t>
  </si>
  <si>
    <t>Акция</t>
  </si>
  <si>
    <t>EU.ST6120030 12_k</t>
  </si>
  <si>
    <t>EU.ST6120040 34_k</t>
  </si>
  <si>
    <t>EU.ST6121040 34_k</t>
  </si>
  <si>
    <t>Внимание! На позиции с признаком "распродажа" и "акция" скидка не распространяется!</t>
  </si>
  <si>
    <t>ПРАЙС-ЛИСТ 15/09/2022</t>
  </si>
  <si>
    <t>Проставьте, пожалуйста, обозначенную Вашим менеджером скидку в % (например "27%")</t>
  </si>
  <si>
    <t>Краны шаровые Kromwell</t>
  </si>
  <si>
    <t>Фильтры механической очистки Kromwell</t>
  </si>
  <si>
    <t>Клапаны обратные Kromwell</t>
  </si>
  <si>
    <t>Резьбовые фитинги Kromwell</t>
  </si>
  <si>
    <t xml:space="preserve">Коллекторные группы Kromwell и комплектующие к ним </t>
  </si>
  <si>
    <t xml:space="preserve">Воздухоотводчики автоматические Kromwell </t>
  </si>
  <si>
    <t>Предохранительный пружинный клапан Kromwell с фиксированной настройкой</t>
  </si>
  <si>
    <t xml:space="preserve">Редукторы давления Kromwell </t>
  </si>
  <si>
    <t xml:space="preserve">Фильтры механической очистки Kromwell </t>
  </si>
  <si>
    <t>Фильтры тонкой очистки Kromwell с латунной колбой</t>
  </si>
  <si>
    <t>Фильтры тонкой очистки Kromwell с прозрачной колбой</t>
  </si>
  <si>
    <t>Комплекты Kromwell для монтажа радиаторов</t>
  </si>
  <si>
    <t>Комплектующие Kromwell для монтажа радиаторов</t>
  </si>
  <si>
    <t>Группы безопасности Kromwell</t>
  </si>
  <si>
    <t>Вентили радиаторные Kromwell с ручным управлением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</si>
</sst>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0.000"/>
    <numFmt numFmtId="167" formatCode="0.0000"/>
    <numFmt numFmtId="168" formatCode="0.00_ "/>
    <numFmt numFmtId="169" formatCode="0.000%"/>
    <numFmt numFmtId="170" formatCode="0.0%"/>
    <numFmt numFmtId="171" formatCode="_-* #,##0.00&quot;р.&quot;_-;\-* #,##0.00&quot;р.&quot;_-;_-* &quot;-&quot;??&quot;р.&quot;_-;_-@_-"/>
    <numFmt numFmtId="172" formatCode="_-* #,##0\ _K_č_-;\-* #,##0\ _K_č_-;_-* &quot;-&quot;\ _K_č_-;_-@_-"/>
    <numFmt numFmtId="173" formatCode="_-* #,##0.00\ [$€-1]_-;\-* #,##0.00\ [$€-1]_-;_-* &quot;-&quot;??\ [$€-1]_-"/>
    <numFmt numFmtId="174" formatCode="_-* #,##0.00\ _z_ł_-;\-* #,##0.00\ _z_ł_-;_-* &quot;-&quot;??\ _z_ł_-;_-@_-"/>
    <numFmt numFmtId="175" formatCode="#,##0.00_ ;\-#,##0.00\ "/>
    <numFmt numFmtId="176" formatCode="_ * #,##0.00_ ;_ * \-#,##0.00_ ;_ * &quot;-&quot;??_ ;_ @_ "/>
    <numFmt numFmtId="177" formatCode="0.0"/>
  </numFmts>
  <fonts count="19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</font>
    <font>
      <sz val="10"/>
      <name val="Arial Cyr"/>
      <charset val="204"/>
    </font>
    <font>
      <sz val="11"/>
      <color indexed="8"/>
      <name val="宋体"/>
      <charset val="13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b/>
      <sz val="10"/>
      <name val="Calibri"/>
      <family val="2"/>
      <charset val="204"/>
    </font>
    <font>
      <sz val="12"/>
      <name val="宋体"/>
      <charset val="134"/>
    </font>
    <font>
      <sz val="10"/>
      <name val="Arial"/>
      <family val="2"/>
    </font>
    <font>
      <sz val="11"/>
      <color theme="1"/>
      <name val="Calibri"/>
      <family val="2"/>
      <charset val="204"/>
      <scheme val="minor"/>
    </font>
    <font>
      <u/>
      <sz val="9.35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i/>
      <u/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u/>
      <sz val="10"/>
      <color rgb="FFFF00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9"/>
      <color theme="10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4"/>
      <color theme="7" tint="-0.249977111117893"/>
      <name val="Calibri"/>
      <family val="2"/>
      <charset val="204"/>
      <scheme val="minor"/>
    </font>
    <font>
      <b/>
      <sz val="9"/>
      <color theme="7" tint="-0.249977111117893"/>
      <name val="Calibri"/>
      <family val="2"/>
      <charset val="204"/>
      <scheme val="minor"/>
    </font>
    <font>
      <b/>
      <sz val="14"/>
      <color theme="3" tint="0.39997558519241921"/>
      <name val="Calibri"/>
      <family val="2"/>
      <charset val="204"/>
      <scheme val="minor"/>
    </font>
    <font>
      <i/>
      <u/>
      <sz val="14"/>
      <color theme="7" tint="-0.249977111117893"/>
      <name val="Calibri"/>
      <family val="2"/>
      <charset val="204"/>
    </font>
    <font>
      <b/>
      <i/>
      <u/>
      <sz val="14"/>
      <color theme="7" tint="-0.249977111117893"/>
      <name val="Calibri"/>
      <family val="2"/>
      <charset val="204"/>
    </font>
    <font>
      <i/>
      <sz val="14"/>
      <color theme="7" tint="-0.249977111117893"/>
      <name val="Calibri"/>
      <family val="2"/>
      <charset val="204"/>
      <scheme val="minor"/>
    </font>
    <font>
      <i/>
      <sz val="10"/>
      <color theme="7" tint="-0.249977111117893"/>
      <name val="Calibri"/>
      <family val="2"/>
      <charset val="204"/>
      <scheme val="minor"/>
    </font>
    <font>
      <i/>
      <u/>
      <sz val="14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i/>
      <u/>
      <sz val="8"/>
      <color theme="7" tint="-0.249977111117893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8"/>
      <color theme="7" tint="-0.249977111117893"/>
      <name val="Calibri"/>
      <family val="2"/>
      <charset val="204"/>
      <scheme val="minor"/>
    </font>
    <font>
      <b/>
      <i/>
      <u/>
      <sz val="8"/>
      <color theme="7" tint="-0.249977111117893"/>
      <name val="Calibri"/>
      <family val="2"/>
      <charset val="204"/>
    </font>
    <font>
      <sz val="11"/>
      <color theme="3" tint="0.3999755851924192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b/>
      <sz val="10"/>
      <color theme="7" tint="-0.249977111117893"/>
      <name val="Calibri"/>
      <family val="2"/>
      <charset val="204"/>
      <scheme val="minor"/>
    </font>
    <font>
      <b/>
      <i/>
      <sz val="11"/>
      <color theme="7" tint="-0.249977111117893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8"/>
      <color rgb="FFC00000"/>
      <name val="Calibri"/>
      <family val="2"/>
      <charset val="204"/>
      <scheme val="minor"/>
    </font>
    <font>
      <b/>
      <i/>
      <sz val="9"/>
      <color theme="7" tint="-0.249977111117893"/>
      <name val="Calibri"/>
      <family val="2"/>
      <charset val="204"/>
      <scheme val="minor"/>
    </font>
    <font>
      <b/>
      <i/>
      <sz val="14"/>
      <color rgb="FFFFFF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4"/>
      <color rgb="FFFFFF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9" tint="0.39997558519241921"/>
      <name val="Calibri"/>
      <family val="2"/>
      <charset val="204"/>
      <scheme val="minor"/>
    </font>
    <font>
      <b/>
      <sz val="12"/>
      <color rgb="FFFFFF00"/>
      <name val="Calibri"/>
      <family val="2"/>
      <charset val="204"/>
      <scheme val="minor"/>
    </font>
    <font>
      <b/>
      <sz val="12"/>
      <color theme="9" tint="-0.249977111117893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i/>
      <sz val="11"/>
      <color rgb="FFFFFF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</font>
    <font>
      <b/>
      <u/>
      <sz val="9"/>
      <color theme="10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rgb="FFFFFF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1"/>
      <name val="Times New Roman"/>
      <family val="1"/>
    </font>
    <font>
      <b/>
      <sz val="9"/>
      <color rgb="FF00B050"/>
      <name val="Calibri"/>
      <family val="2"/>
      <charset val="204"/>
      <scheme val="minor"/>
    </font>
    <font>
      <b/>
      <sz val="11"/>
      <color rgb="FFFFFF00"/>
      <name val="Calibri"/>
      <family val="2"/>
      <charset val="204"/>
      <scheme val="minor"/>
    </font>
    <font>
      <b/>
      <sz val="10"/>
      <color rgb="FF00B050"/>
      <name val="Arial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charset val="204"/>
    </font>
    <font>
      <sz val="11"/>
      <color indexed="30"/>
      <name val="Calibri"/>
      <family val="2"/>
      <charset val="204"/>
    </font>
    <font>
      <sz val="9"/>
      <color rgb="FF00B050"/>
      <name val="Calibri"/>
      <family val="2"/>
      <charset val="204"/>
      <scheme val="minor"/>
    </font>
    <font>
      <sz val="9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i/>
      <u/>
      <sz val="9"/>
      <color theme="7" tint="-0.249977111117893"/>
      <name val="Calibri"/>
      <family val="2"/>
      <charset val="204"/>
    </font>
    <font>
      <b/>
      <sz val="9"/>
      <color theme="3" tint="0.3999755851924192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1"/>
      <color indexed="10"/>
      <name val="Arial"/>
      <family val="2"/>
    </font>
    <font>
      <i/>
      <sz val="9"/>
      <color theme="7" tint="-0.249977111117893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b/>
      <sz val="10"/>
      <color rgb="FF00B050"/>
      <name val="Calibri"/>
      <family val="2"/>
      <charset val="204"/>
      <scheme val="minor"/>
    </font>
    <font>
      <b/>
      <sz val="11"/>
      <name val="Arial"/>
      <family val="2"/>
    </font>
    <font>
      <i/>
      <sz val="9"/>
      <name val="Calibri"/>
      <family val="2"/>
      <charset val="204"/>
      <scheme val="minor"/>
    </font>
    <font>
      <b/>
      <i/>
      <u/>
      <sz val="12"/>
      <color theme="7" tint="-0.249977111117893"/>
      <name val="Calibri"/>
      <family val="2"/>
      <charset val="204"/>
    </font>
    <font>
      <i/>
      <sz val="12"/>
      <color theme="7" tint="-0.249977111117893"/>
      <name val="Calibri"/>
      <family val="2"/>
      <charset val="204"/>
      <scheme val="minor"/>
    </font>
    <font>
      <b/>
      <i/>
      <u/>
      <sz val="9"/>
      <color theme="7" tint="-0.249977111117893"/>
      <name val="Calibri"/>
      <family val="2"/>
      <charset val="204"/>
    </font>
    <font>
      <b/>
      <i/>
      <u/>
      <sz val="10"/>
      <color theme="7" tint="-0.249977111117893"/>
      <name val="Calibri"/>
      <family val="2"/>
      <charset val="204"/>
    </font>
    <font>
      <b/>
      <i/>
      <sz val="9"/>
      <color theme="1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</font>
    <font>
      <sz val="9"/>
      <color theme="3" tint="0.39997558519241921"/>
      <name val="Calibri"/>
      <family val="2"/>
      <charset val="204"/>
      <scheme val="minor"/>
    </font>
    <font>
      <b/>
      <sz val="9"/>
      <name val="Times New Roman"/>
      <family val="1"/>
    </font>
    <font>
      <sz val="9"/>
      <color rgb="FFFF0000"/>
      <name val="Calibri"/>
      <family val="2"/>
      <charset val="204"/>
      <scheme val="minor"/>
    </font>
    <font>
      <b/>
      <sz val="9"/>
      <color theme="2" tint="-0.89999084444715716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6"/>
      <color rgb="FFFFFF00"/>
      <name val="Calibri"/>
      <family val="2"/>
      <charset val="204"/>
      <scheme val="minor"/>
    </font>
    <font>
      <sz val="12"/>
      <color rgb="FFFFFF00"/>
      <name val="Calibri"/>
      <family val="2"/>
      <charset val="204"/>
      <scheme val="minor"/>
    </font>
    <font>
      <b/>
      <i/>
      <u/>
      <sz val="9"/>
      <color theme="7" tint="-0.249977111117893"/>
      <name val="Calibri"/>
      <family val="2"/>
      <charset val="204"/>
      <scheme val="minor"/>
    </font>
    <font>
      <u/>
      <sz val="14"/>
      <color theme="10"/>
      <name val="Calibri"/>
      <family val="2"/>
      <charset val="204"/>
    </font>
    <font>
      <u/>
      <sz val="13"/>
      <color theme="10"/>
      <name val="Calibri"/>
      <family val="2"/>
      <charset val="204"/>
    </font>
    <font>
      <sz val="14"/>
      <color theme="1" tint="4.9989318521683403E-2"/>
      <name val="Calibri"/>
      <family val="2"/>
      <charset val="204"/>
      <scheme val="minor"/>
    </font>
    <font>
      <b/>
      <sz val="10"/>
      <name val="Arial"/>
      <family val="2"/>
    </font>
    <font>
      <sz val="13"/>
      <name val="Calibri"/>
      <family val="2"/>
      <charset val="204"/>
      <scheme val="minor"/>
    </font>
    <font>
      <b/>
      <sz val="9"/>
      <color rgb="FFC00000"/>
      <name val="Calibri"/>
      <family val="2"/>
      <charset val="204"/>
    </font>
    <font>
      <sz val="10"/>
      <color theme="1"/>
      <name val="Segoe UI"/>
      <family val="2"/>
      <charset val="204"/>
    </font>
    <font>
      <b/>
      <sz val="14"/>
      <color rgb="FF002060"/>
      <name val="Calibri"/>
      <family val="2"/>
      <charset val="204"/>
      <scheme val="minor"/>
    </font>
    <font>
      <sz val="14"/>
      <color rgb="FF002060"/>
      <name val="Calibri"/>
      <family val="2"/>
      <charset val="204"/>
      <scheme val="minor"/>
    </font>
    <font>
      <b/>
      <sz val="14"/>
      <color rgb="FF002060"/>
      <name val="Aharoni"/>
    </font>
    <font>
      <i/>
      <sz val="14"/>
      <color rgb="FF002060"/>
      <name val="Aharoni"/>
    </font>
    <font>
      <i/>
      <sz val="14"/>
      <name val="Aharoni"/>
    </font>
    <font>
      <b/>
      <sz val="14"/>
      <color rgb="FF0070C0"/>
      <name val="Calibri"/>
      <family val="2"/>
      <charset val="204"/>
      <scheme val="minor"/>
    </font>
    <font>
      <sz val="14"/>
      <color rgb="FF002060"/>
      <name val="Calibri"/>
      <family val="2"/>
      <charset val="204"/>
    </font>
    <font>
      <b/>
      <sz val="14"/>
      <color rgb="FF800000"/>
      <name val="Calibri"/>
      <family val="2"/>
      <charset val="204"/>
      <scheme val="minor"/>
    </font>
    <font>
      <sz val="14"/>
      <color theme="7" tint="-0.249977111117893"/>
      <name val="Calibri"/>
      <family val="2"/>
      <charset val="204"/>
      <scheme val="minor"/>
    </font>
    <font>
      <sz val="14"/>
      <color theme="3" tint="0.3999755851924192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38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9"/>
      <name val="Arial"/>
      <family val="2"/>
      <charset val="204"/>
    </font>
    <font>
      <u/>
      <sz val="10"/>
      <color theme="10"/>
      <name val="Calibri"/>
      <family val="2"/>
      <charset val="204"/>
    </font>
    <font>
      <u/>
      <sz val="9"/>
      <color theme="1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10"/>
      <name val="Times New Roman"/>
      <family val="1"/>
    </font>
    <font>
      <b/>
      <sz val="11"/>
      <color rgb="FFC00000"/>
      <name val="Calibri"/>
      <family val="2"/>
      <charset val="204"/>
      <scheme val="minor"/>
    </font>
    <font>
      <i/>
      <u/>
      <sz val="9"/>
      <name val="Calibri"/>
      <family val="2"/>
      <charset val="204"/>
      <scheme val="minor"/>
    </font>
    <font>
      <sz val="10"/>
      <name val="Arial Cyr"/>
      <family val="2"/>
      <charset val="204"/>
    </font>
    <font>
      <u/>
      <sz val="9.35"/>
      <color theme="10"/>
      <name val="Calibri"/>
      <family val="2"/>
    </font>
    <font>
      <sz val="10"/>
      <name val="Helv"/>
      <family val="2"/>
    </font>
    <font>
      <sz val="11"/>
      <color theme="1"/>
      <name val="宋体"/>
      <charset val="134"/>
    </font>
    <font>
      <sz val="10"/>
      <name val="Arial Cyr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b/>
      <sz val="30"/>
      <color rgb="FF15314F"/>
      <name val="Calibri"/>
      <family val="2"/>
      <charset val="204"/>
      <scheme val="minor"/>
    </font>
    <font>
      <b/>
      <sz val="14"/>
      <color rgb="FFE50046"/>
      <name val="Calibri"/>
      <family val="2"/>
      <charset val="204"/>
      <scheme val="minor"/>
    </font>
    <font>
      <b/>
      <u/>
      <sz val="14"/>
      <color rgb="FFE50046"/>
      <name val="Calibri"/>
      <family val="2"/>
      <charset val="204"/>
      <scheme val="minor"/>
    </font>
    <font>
      <b/>
      <sz val="10"/>
      <color rgb="FF15314F"/>
      <name val="Calibri"/>
      <family val="2"/>
      <charset val="204"/>
      <scheme val="minor"/>
    </font>
    <font>
      <b/>
      <sz val="10"/>
      <color rgb="FF15314F"/>
      <name val="Calibri"/>
      <family val="2"/>
      <charset val="204"/>
    </font>
    <font>
      <sz val="9"/>
      <color rgb="FFE50046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i/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u/>
      <sz val="12"/>
      <color theme="0"/>
      <name val="Calibri"/>
      <family val="2"/>
      <charset val="204"/>
    </font>
    <font>
      <sz val="10"/>
      <color rgb="FFE50046"/>
      <name val="Calibri"/>
      <family val="2"/>
      <charset val="204"/>
      <scheme val="minor"/>
    </font>
    <font>
      <b/>
      <sz val="14"/>
      <color rgb="FF15314F"/>
      <name val="Calibri"/>
      <family val="2"/>
      <charset val="204"/>
      <scheme val="minor"/>
    </font>
    <font>
      <b/>
      <sz val="10"/>
      <color rgb="FFE50046"/>
      <name val="Calibri"/>
      <family val="2"/>
      <charset val="204"/>
      <scheme val="minor"/>
    </font>
    <font>
      <b/>
      <sz val="9.5"/>
      <name val="Calibri"/>
      <family val="2"/>
      <charset val="204"/>
      <scheme val="minor"/>
    </font>
    <font>
      <b/>
      <i/>
      <sz val="22"/>
      <color theme="0"/>
      <name val="Calibri"/>
      <family val="2"/>
      <charset val="204"/>
      <scheme val="minor"/>
    </font>
    <font>
      <sz val="22"/>
      <color theme="0"/>
      <name val="Calibri"/>
      <family val="2"/>
      <charset val="204"/>
      <scheme val="minor"/>
    </font>
    <font>
      <b/>
      <sz val="9.5"/>
      <color rgb="FFE50046"/>
      <name val="Calibri"/>
      <family val="2"/>
      <charset val="204"/>
      <scheme val="minor"/>
    </font>
    <font>
      <sz val="8"/>
      <name val="Tahoma"/>
      <family val="2"/>
      <charset val="204"/>
    </font>
    <font>
      <b/>
      <sz val="9"/>
      <color rgb="FFE50046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E50046"/>
        <bgColor indexed="64"/>
      </patternFill>
    </fill>
    <fill>
      <patternFill patternType="solid">
        <fgColor rgb="FFDEE9F6"/>
        <bgColor indexed="64"/>
      </patternFill>
    </fill>
    <fill>
      <patternFill patternType="solid">
        <fgColor rgb="FFFFC9DA"/>
        <bgColor indexed="64"/>
      </patternFill>
    </fill>
    <fill>
      <patternFill patternType="solid">
        <fgColor rgb="FF15314F"/>
        <bgColor indexed="64"/>
      </patternFill>
    </fill>
  </fills>
  <borders count="9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0"/>
      </left>
      <right/>
      <top/>
      <bottom/>
      <diagonal/>
    </border>
    <border>
      <left/>
      <right/>
      <top style="thin">
        <color rgb="FF15314F"/>
      </top>
      <bottom style="thin">
        <color rgb="FF15314F"/>
      </bottom>
      <diagonal/>
    </border>
    <border>
      <left/>
      <right/>
      <top style="medium">
        <color rgb="FF15314F"/>
      </top>
      <bottom style="medium">
        <color rgb="FF15314F"/>
      </bottom>
      <diagonal/>
    </border>
    <border>
      <left/>
      <right/>
      <top/>
      <bottom style="thin">
        <color rgb="FF15314F"/>
      </bottom>
      <diagonal/>
    </border>
    <border>
      <left/>
      <right/>
      <top style="thin">
        <color rgb="FF15314F"/>
      </top>
      <bottom style="thin">
        <color indexed="64"/>
      </bottom>
      <diagonal/>
    </border>
    <border>
      <left/>
      <right/>
      <top style="medium">
        <color rgb="FF15314F"/>
      </top>
      <bottom style="thin">
        <color rgb="FF15314F"/>
      </bottom>
      <diagonal/>
    </border>
  </borders>
  <cellStyleXfs count="33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4" fillId="0" borderId="0"/>
    <xf numFmtId="0" fontId="1" fillId="0" borderId="0"/>
    <xf numFmtId="0" fontId="2" fillId="0" borderId="0"/>
    <xf numFmtId="0" fontId="9" fillId="0" borderId="0"/>
    <xf numFmtId="165" fontId="3" fillId="0" borderId="0" applyFont="0" applyFill="0" applyBorder="0" applyAlignment="0" applyProtection="0"/>
    <xf numFmtId="0" fontId="11" fillId="0" borderId="0"/>
    <xf numFmtId="0" fontId="4" fillId="0" borderId="0"/>
    <xf numFmtId="0" fontId="9" fillId="0" borderId="0"/>
    <xf numFmtId="0" fontId="4" fillId="0" borderId="0" applyProtection="0">
      <alignment vertical="center"/>
    </xf>
    <xf numFmtId="0" fontId="137" fillId="0" borderId="0">
      <alignment horizontal="left"/>
    </xf>
    <xf numFmtId="0" fontId="138" fillId="0" borderId="0"/>
    <xf numFmtId="165" fontId="11" fillId="0" borderId="0" applyFont="0" applyFill="0" applyBorder="0" applyAlignment="0" applyProtection="0"/>
    <xf numFmtId="0" fontId="139" fillId="0" borderId="0"/>
    <xf numFmtId="0" fontId="2" fillId="0" borderId="0"/>
    <xf numFmtId="165" fontId="1" fillId="0" borderId="0" applyFont="0" applyFill="0" applyBorder="0" applyAlignment="0" applyProtection="0"/>
    <xf numFmtId="0" fontId="140" fillId="0" borderId="0"/>
    <xf numFmtId="165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37" fillId="0" borderId="0"/>
    <xf numFmtId="0" fontId="141" fillId="0" borderId="0"/>
    <xf numFmtId="0" fontId="142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42" fillId="37" borderId="0" applyNumberFormat="0" applyBorder="0" applyAlignment="0" applyProtection="0"/>
    <xf numFmtId="0" fontId="142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42" fillId="41" borderId="0" applyNumberFormat="0" applyBorder="0" applyAlignment="0" applyProtection="0"/>
    <xf numFmtId="0" fontId="142" fillId="42" borderId="0" applyNumberFormat="0" applyBorder="0" applyAlignment="0" applyProtection="0"/>
    <xf numFmtId="0" fontId="142" fillId="37" borderId="0" applyNumberFormat="0" applyBorder="0" applyAlignment="0" applyProtection="0"/>
    <xf numFmtId="0" fontId="142" fillId="40" borderId="0" applyNumberFormat="0" applyBorder="0" applyAlignment="0" applyProtection="0"/>
    <xf numFmtId="0" fontId="142" fillId="43" borderId="0" applyNumberFormat="0" applyBorder="0" applyAlignment="0" applyProtection="0"/>
    <xf numFmtId="0" fontId="143" fillId="44" borderId="0" applyNumberFormat="0" applyBorder="0" applyAlignment="0" applyProtection="0"/>
    <xf numFmtId="0" fontId="143" fillId="41" borderId="0" applyNumberFormat="0" applyBorder="0" applyAlignment="0" applyProtection="0"/>
    <xf numFmtId="0" fontId="143" fillId="42" borderId="0" applyNumberFormat="0" applyBorder="0" applyAlignment="0" applyProtection="0"/>
    <xf numFmtId="0" fontId="143" fillId="45" borderId="0" applyNumberFormat="0" applyBorder="0" applyAlignment="0" applyProtection="0"/>
    <xf numFmtId="0" fontId="143" fillId="46" borderId="0" applyNumberFormat="0" applyBorder="0" applyAlignment="0" applyProtection="0"/>
    <xf numFmtId="0" fontId="143" fillId="47" borderId="0" applyNumberFormat="0" applyBorder="0" applyAlignment="0" applyProtection="0"/>
    <xf numFmtId="0" fontId="143" fillId="48" borderId="0" applyNumberFormat="0" applyBorder="0" applyAlignment="0" applyProtection="0"/>
    <xf numFmtId="0" fontId="143" fillId="49" borderId="0" applyNumberFormat="0" applyBorder="0" applyAlignment="0" applyProtection="0"/>
    <xf numFmtId="0" fontId="143" fillId="50" borderId="0" applyNumberFormat="0" applyBorder="0" applyAlignment="0" applyProtection="0"/>
    <xf numFmtId="0" fontId="143" fillId="45" borderId="0" applyNumberFormat="0" applyBorder="0" applyAlignment="0" applyProtection="0"/>
    <xf numFmtId="0" fontId="143" fillId="46" borderId="0" applyNumberFormat="0" applyBorder="0" applyAlignment="0" applyProtection="0"/>
    <xf numFmtId="0" fontId="143" fillId="51" borderId="0" applyNumberFormat="0" applyBorder="0" applyAlignment="0" applyProtection="0"/>
    <xf numFmtId="0" fontId="144" fillId="52" borderId="80" applyNumberFormat="0" applyAlignment="0" applyProtection="0"/>
    <xf numFmtId="0" fontId="145" fillId="52" borderId="81" applyNumberFormat="0" applyAlignment="0" applyProtection="0"/>
    <xf numFmtId="172" fontId="139" fillId="0" borderId="0" applyNumberFormat="0" applyFill="0" applyBorder="0" applyAlignment="0" applyProtection="0"/>
    <xf numFmtId="0" fontId="146" fillId="39" borderId="81" applyNumberFormat="0" applyAlignment="0" applyProtection="0"/>
    <xf numFmtId="0" fontId="147" fillId="0" borderId="82" applyNumberFormat="0" applyFill="0" applyAlignment="0" applyProtection="0"/>
    <xf numFmtId="0" fontId="148" fillId="0" borderId="0" applyNumberFormat="0" applyFill="0" applyBorder="0" applyAlignment="0" applyProtection="0"/>
    <xf numFmtId="173" fontId="139" fillId="0" borderId="0" applyFont="0" applyFill="0" applyBorder="0" applyAlignment="0" applyProtection="0"/>
    <xf numFmtId="0" fontId="149" fillId="36" borderId="0" applyNumberFormat="0" applyBorder="0" applyAlignment="0" applyProtection="0"/>
    <xf numFmtId="0" fontId="150" fillId="53" borderId="0" applyNumberFormat="0" applyBorder="0" applyAlignment="0" applyProtection="0"/>
    <xf numFmtId="0" fontId="139" fillId="0" borderId="0"/>
    <xf numFmtId="0" fontId="139" fillId="0" borderId="0"/>
    <xf numFmtId="0" fontId="159" fillId="0" borderId="0"/>
    <xf numFmtId="0" fontId="139" fillId="0" borderId="0"/>
    <xf numFmtId="0" fontId="139" fillId="54" borderId="83" applyNumberFormat="0" applyFont="0" applyAlignment="0" applyProtection="0"/>
    <xf numFmtId="9" fontId="139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151" fillId="35" borderId="0" applyNumberFormat="0" applyBorder="0" applyAlignment="0" applyProtection="0"/>
    <xf numFmtId="0" fontId="139" fillId="0" borderId="0"/>
    <xf numFmtId="0" fontId="152" fillId="0" borderId="0" applyNumberFormat="0" applyFill="0" applyBorder="0" applyAlignment="0" applyProtection="0"/>
    <xf numFmtId="0" fontId="153" fillId="0" borderId="84" applyNumberFormat="0" applyFill="0" applyAlignment="0" applyProtection="0"/>
    <xf numFmtId="0" fontId="154" fillId="0" borderId="85" applyNumberFormat="0" applyFill="0" applyAlignment="0" applyProtection="0"/>
    <xf numFmtId="0" fontId="155" fillId="0" borderId="86" applyNumberFormat="0" applyFill="0" applyAlignment="0" applyProtection="0"/>
    <xf numFmtId="0" fontId="155" fillId="0" borderId="0" applyNumberFormat="0" applyFill="0" applyBorder="0" applyAlignment="0" applyProtection="0"/>
    <xf numFmtId="0" fontId="156" fillId="0" borderId="87" applyNumberFormat="0" applyFill="0" applyAlignment="0" applyProtection="0"/>
    <xf numFmtId="0" fontId="157" fillId="0" borderId="0" applyNumberFormat="0" applyFill="0" applyBorder="0" applyAlignment="0" applyProtection="0"/>
    <xf numFmtId="0" fontId="158" fillId="55" borderId="88" applyNumberFormat="0" applyAlignment="0" applyProtection="0"/>
    <xf numFmtId="0" fontId="3" fillId="0" borderId="0"/>
    <xf numFmtId="165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61" fillId="0" borderId="0"/>
    <xf numFmtId="0" fontId="159" fillId="0" borderId="0"/>
    <xf numFmtId="0" fontId="159" fillId="0" borderId="0"/>
    <xf numFmtId="9" fontId="141" fillId="0" borderId="0" applyFont="0" applyFill="0" applyBorder="0" applyAlignment="0" applyProtection="0"/>
    <xf numFmtId="174" fontId="13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>
      <alignment vertical="center"/>
    </xf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165" fontId="169" fillId="0" borderId="0" applyFont="0" applyFill="0" applyBorder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9" fillId="0" borderId="0"/>
    <xf numFmtId="0" fontId="142" fillId="56" borderId="0" applyNumberFormat="0" applyBorder="0" applyAlignment="0" applyProtection="0"/>
    <xf numFmtId="0" fontId="142" fillId="57" borderId="0" applyNumberFormat="0" applyBorder="0" applyAlignment="0" applyProtection="0"/>
    <xf numFmtId="0" fontId="142" fillId="58" borderId="0" applyNumberFormat="0" applyBorder="0" applyAlignment="0" applyProtection="0"/>
    <xf numFmtId="0" fontId="142" fillId="59" borderId="0" applyNumberFormat="0" applyBorder="0" applyAlignment="0" applyProtection="0"/>
    <xf numFmtId="0" fontId="142" fillId="60" borderId="0" applyNumberFormat="0" applyBorder="0" applyAlignment="0" applyProtection="0"/>
    <xf numFmtId="0" fontId="142" fillId="61" borderId="0" applyNumberFormat="0" applyBorder="0" applyAlignment="0" applyProtection="0"/>
    <xf numFmtId="0" fontId="142" fillId="62" borderId="0" applyNumberFormat="0" applyBorder="0" applyAlignment="0" applyProtection="0"/>
    <xf numFmtId="0" fontId="142" fillId="63" borderId="0" applyNumberFormat="0" applyBorder="0" applyAlignment="0" applyProtection="0"/>
    <xf numFmtId="0" fontId="142" fillId="64" borderId="0" applyNumberFormat="0" applyBorder="0" applyAlignment="0" applyProtection="0"/>
    <xf numFmtId="0" fontId="142" fillId="59" borderId="0" applyNumberFormat="0" applyBorder="0" applyAlignment="0" applyProtection="0"/>
    <xf numFmtId="0" fontId="142" fillId="62" borderId="0" applyNumberFormat="0" applyBorder="0" applyAlignment="0" applyProtection="0"/>
    <xf numFmtId="0" fontId="142" fillId="65" borderId="0" applyNumberFormat="0" applyBorder="0" applyAlignment="0" applyProtection="0"/>
    <xf numFmtId="0" fontId="143" fillId="66" borderId="0" applyNumberFormat="0" applyBorder="0" applyAlignment="0" applyProtection="0"/>
    <xf numFmtId="0" fontId="143" fillId="63" borderId="0" applyNumberFormat="0" applyBorder="0" applyAlignment="0" applyProtection="0"/>
    <xf numFmtId="0" fontId="143" fillId="64" borderId="0" applyNumberFormat="0" applyBorder="0" applyAlignment="0" applyProtection="0"/>
    <xf numFmtId="0" fontId="143" fillId="67" borderId="0" applyNumberFormat="0" applyBorder="0" applyAlignment="0" applyProtection="0"/>
    <xf numFmtId="0" fontId="143" fillId="68" borderId="0" applyNumberFormat="0" applyBorder="0" applyAlignment="0" applyProtection="0"/>
    <xf numFmtId="0" fontId="143" fillId="69" borderId="0" applyNumberFormat="0" applyBorder="0" applyAlignment="0" applyProtection="0"/>
    <xf numFmtId="0" fontId="172" fillId="0" borderId="0"/>
    <xf numFmtId="0" fontId="142" fillId="0" borderId="0"/>
    <xf numFmtId="0" fontId="4" fillId="0" borderId="0">
      <alignment vertical="center"/>
    </xf>
    <xf numFmtId="0" fontId="172" fillId="0" borderId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71" fillId="0" borderId="0"/>
    <xf numFmtId="164" fontId="14" fillId="0" borderId="0" applyFont="0" applyFill="0" applyBorder="0" applyAlignment="0" applyProtection="0"/>
    <xf numFmtId="0" fontId="11" fillId="0" borderId="0"/>
    <xf numFmtId="0" fontId="171" fillId="0" borderId="0"/>
    <xf numFmtId="0" fontId="171" fillId="0" borderId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2" fillId="57" borderId="0" applyNumberFormat="0" applyBorder="0" applyAlignment="0" applyProtection="0"/>
    <xf numFmtId="0" fontId="142" fillId="57" borderId="0" applyNumberFormat="0" applyBorder="0" applyAlignment="0" applyProtection="0"/>
    <xf numFmtId="0" fontId="142" fillId="57" borderId="0" applyNumberFormat="0" applyBorder="0" applyAlignment="0" applyProtection="0"/>
    <xf numFmtId="0" fontId="142" fillId="58" borderId="0" applyNumberFormat="0" applyBorder="0" applyAlignment="0" applyProtection="0"/>
    <xf numFmtId="0" fontId="142" fillId="58" borderId="0" applyNumberFormat="0" applyBorder="0" applyAlignment="0" applyProtection="0"/>
    <xf numFmtId="0" fontId="142" fillId="58" borderId="0" applyNumberFormat="0" applyBorder="0" applyAlignment="0" applyProtection="0"/>
    <xf numFmtId="0" fontId="142" fillId="59" borderId="0" applyNumberFormat="0" applyBorder="0" applyAlignment="0" applyProtection="0"/>
    <xf numFmtId="0" fontId="142" fillId="59" borderId="0" applyNumberFormat="0" applyBorder="0" applyAlignment="0" applyProtection="0"/>
    <xf numFmtId="0" fontId="142" fillId="59" borderId="0" applyNumberFormat="0" applyBorder="0" applyAlignment="0" applyProtection="0"/>
    <xf numFmtId="0" fontId="142" fillId="60" borderId="0" applyNumberFormat="0" applyBorder="0" applyAlignment="0" applyProtection="0"/>
    <xf numFmtId="0" fontId="142" fillId="60" borderId="0" applyNumberFormat="0" applyBorder="0" applyAlignment="0" applyProtection="0"/>
    <xf numFmtId="0" fontId="142" fillId="60" borderId="0" applyNumberFormat="0" applyBorder="0" applyAlignment="0" applyProtection="0"/>
    <xf numFmtId="0" fontId="142" fillId="61" borderId="0" applyNumberFormat="0" applyBorder="0" applyAlignment="0" applyProtection="0"/>
    <xf numFmtId="0" fontId="142" fillId="61" borderId="0" applyNumberFormat="0" applyBorder="0" applyAlignment="0" applyProtection="0"/>
    <xf numFmtId="0" fontId="142" fillId="61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3" borderId="0" applyNumberFormat="0" applyBorder="0" applyAlignment="0" applyProtection="0"/>
    <xf numFmtId="0" fontId="142" fillId="63" borderId="0" applyNumberFormat="0" applyBorder="0" applyAlignment="0" applyProtection="0"/>
    <xf numFmtId="0" fontId="142" fillId="63" borderId="0" applyNumberFormat="0" applyBorder="0" applyAlignment="0" applyProtection="0"/>
    <xf numFmtId="0" fontId="142" fillId="64" borderId="0" applyNumberFormat="0" applyBorder="0" applyAlignment="0" applyProtection="0"/>
    <xf numFmtId="0" fontId="142" fillId="64" borderId="0" applyNumberFormat="0" applyBorder="0" applyAlignment="0" applyProtection="0"/>
    <xf numFmtId="0" fontId="142" fillId="64" borderId="0" applyNumberFormat="0" applyBorder="0" applyAlignment="0" applyProtection="0"/>
    <xf numFmtId="0" fontId="142" fillId="59" borderId="0" applyNumberFormat="0" applyBorder="0" applyAlignment="0" applyProtection="0"/>
    <xf numFmtId="0" fontId="142" fillId="59" borderId="0" applyNumberFormat="0" applyBorder="0" applyAlignment="0" applyProtection="0"/>
    <xf numFmtId="0" fontId="142" fillId="59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5" borderId="0" applyNumberFormat="0" applyBorder="0" applyAlignment="0" applyProtection="0"/>
    <xf numFmtId="0" fontId="142" fillId="65" borderId="0" applyNumberFormat="0" applyBorder="0" applyAlignment="0" applyProtection="0"/>
    <xf numFmtId="0" fontId="142" fillId="65" borderId="0" applyNumberFormat="0" applyBorder="0" applyAlignment="0" applyProtection="0"/>
    <xf numFmtId="0" fontId="143" fillId="66" borderId="0" applyNumberFormat="0" applyBorder="0" applyAlignment="0" applyProtection="0"/>
    <xf numFmtId="0" fontId="143" fillId="66" borderId="0" applyNumberFormat="0" applyBorder="0" applyAlignment="0" applyProtection="0"/>
    <xf numFmtId="0" fontId="143" fillId="66" borderId="0" applyNumberFormat="0" applyBorder="0" applyAlignment="0" applyProtection="0"/>
    <xf numFmtId="0" fontId="143" fillId="63" borderId="0" applyNumberFormat="0" applyBorder="0" applyAlignment="0" applyProtection="0"/>
    <xf numFmtId="0" fontId="143" fillId="63" borderId="0" applyNumberFormat="0" applyBorder="0" applyAlignment="0" applyProtection="0"/>
    <xf numFmtId="0" fontId="143" fillId="63" borderId="0" applyNumberFormat="0" applyBorder="0" applyAlignment="0" applyProtection="0"/>
    <xf numFmtId="0" fontId="143" fillId="64" borderId="0" applyNumberFormat="0" applyBorder="0" applyAlignment="0" applyProtection="0"/>
    <xf numFmtId="0" fontId="143" fillId="64" borderId="0" applyNumberFormat="0" applyBorder="0" applyAlignment="0" applyProtection="0"/>
    <xf numFmtId="0" fontId="143" fillId="64" borderId="0" applyNumberFormat="0" applyBorder="0" applyAlignment="0" applyProtection="0"/>
    <xf numFmtId="0" fontId="143" fillId="67" borderId="0" applyNumberFormat="0" applyBorder="0" applyAlignment="0" applyProtection="0"/>
    <xf numFmtId="0" fontId="143" fillId="67" borderId="0" applyNumberFormat="0" applyBorder="0" applyAlignment="0" applyProtection="0"/>
    <xf numFmtId="0" fontId="143" fillId="67" borderId="0" applyNumberFormat="0" applyBorder="0" applyAlignment="0" applyProtection="0"/>
    <xf numFmtId="0" fontId="143" fillId="68" borderId="0" applyNumberFormat="0" applyBorder="0" applyAlignment="0" applyProtection="0"/>
    <xf numFmtId="0" fontId="143" fillId="68" borderId="0" applyNumberFormat="0" applyBorder="0" applyAlignment="0" applyProtection="0"/>
    <xf numFmtId="0" fontId="143" fillId="68" borderId="0" applyNumberFormat="0" applyBorder="0" applyAlignment="0" applyProtection="0"/>
    <xf numFmtId="0" fontId="143" fillId="69" borderId="0" applyNumberFormat="0" applyBorder="0" applyAlignment="0" applyProtection="0"/>
    <xf numFmtId="0" fontId="143" fillId="69" borderId="0" applyNumberFormat="0" applyBorder="0" applyAlignment="0" applyProtection="0"/>
    <xf numFmtId="0" fontId="143" fillId="69" borderId="0" applyNumberFormat="0" applyBorder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1" fillId="0" borderId="0"/>
    <xf numFmtId="165" fontId="173" fillId="0" borderId="0" applyFont="0" applyFill="0" applyBorder="0" applyAlignment="0" applyProtection="0"/>
    <xf numFmtId="165" fontId="17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71" fillId="0" borderId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74" fillId="0" borderId="0">
      <alignment vertical="center"/>
    </xf>
    <xf numFmtId="0" fontId="11" fillId="0" borderId="0"/>
    <xf numFmtId="0" fontId="174" fillId="0" borderId="0"/>
    <xf numFmtId="0" fontId="11" fillId="0" borderId="0"/>
    <xf numFmtId="0" fontId="175" fillId="0" borderId="0" applyProtection="0">
      <alignment vertical="center"/>
    </xf>
    <xf numFmtId="0" fontId="175" fillId="0" borderId="0"/>
    <xf numFmtId="0" fontId="174" fillId="0" borderId="0"/>
    <xf numFmtId="0" fontId="11" fillId="0" borderId="0"/>
    <xf numFmtId="0" fontId="174" fillId="0" borderId="0"/>
    <xf numFmtId="0" fontId="176" fillId="0" borderId="0"/>
    <xf numFmtId="0" fontId="175" fillId="0" borderId="0">
      <alignment vertical="center"/>
    </xf>
    <xf numFmtId="0" fontId="176" fillId="0" borderId="0"/>
    <xf numFmtId="176" fontId="174" fillId="0" borderId="0" applyFont="0" applyFill="0" applyBorder="0" applyAlignment="0" applyProtection="0"/>
    <xf numFmtId="176" fontId="17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69" fillId="0" borderId="0" applyFont="0" applyFill="0" applyBorder="0" applyAlignment="0" applyProtection="0"/>
    <xf numFmtId="165" fontId="16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2" fillId="0" borderId="0"/>
  </cellStyleXfs>
  <cellXfs count="2386">
    <xf numFmtId="0" fontId="0" fillId="0" borderId="0" xfId="0"/>
    <xf numFmtId="0" fontId="16" fillId="0" borderId="0" xfId="0" applyFont="1"/>
    <xf numFmtId="0" fontId="20" fillId="0" borderId="0" xfId="0" applyFont="1" applyBorder="1" applyAlignment="1" applyProtection="1">
      <alignment horizontal="center"/>
      <protection hidden="1"/>
    </xf>
    <xf numFmtId="1" fontId="58" fillId="6" borderId="0" xfId="0" applyNumberFormat="1" applyFont="1" applyFill="1" applyBorder="1" applyAlignment="1" applyProtection="1">
      <alignment horizontal="center"/>
      <protection hidden="1"/>
    </xf>
    <xf numFmtId="0" fontId="38" fillId="0" borderId="0" xfId="0" applyFont="1" applyBorder="1" applyAlignment="1" applyProtection="1">
      <alignment horizontal="center"/>
      <protection hidden="1"/>
    </xf>
    <xf numFmtId="0" fontId="55" fillId="0" borderId="0" xfId="0" applyFont="1" applyBorder="1" applyAlignment="1" applyProtection="1">
      <alignment horizontal="center" vertical="center"/>
      <protection hidden="1"/>
    </xf>
    <xf numFmtId="0" fontId="21" fillId="0" borderId="0" xfId="0" applyNumberFormat="1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center"/>
      <protection hidden="1"/>
    </xf>
    <xf numFmtId="1" fontId="20" fillId="0" borderId="0" xfId="0" applyNumberFormat="1" applyFont="1" applyAlignment="1" applyProtection="1">
      <alignment horizontal="center"/>
      <protection hidden="1"/>
    </xf>
    <xf numFmtId="166" fontId="20" fillId="7" borderId="41" xfId="0" applyNumberFormat="1" applyFont="1" applyFill="1" applyBorder="1" applyAlignment="1" applyProtection="1">
      <alignment horizontal="center"/>
      <protection hidden="1"/>
    </xf>
    <xf numFmtId="2" fontId="21" fillId="0" borderId="0" xfId="0" applyNumberFormat="1" applyFont="1" applyAlignment="1" applyProtection="1">
      <alignment horizontal="center"/>
      <protection hidden="1"/>
    </xf>
    <xf numFmtId="10" fontId="21" fillId="10" borderId="0" xfId="0" applyNumberFormat="1" applyFont="1" applyFill="1" applyBorder="1" applyAlignment="1" applyProtection="1">
      <alignment horizontal="center"/>
      <protection hidden="1"/>
    </xf>
    <xf numFmtId="166" fontId="21" fillId="10" borderId="0" xfId="0" applyNumberFormat="1" applyFont="1" applyFill="1" applyBorder="1" applyAlignment="1" applyProtection="1">
      <alignment horizontal="center"/>
      <protection hidden="1"/>
    </xf>
    <xf numFmtId="10" fontId="16" fillId="0" borderId="0" xfId="0" applyNumberFormat="1" applyFont="1" applyProtection="1">
      <protection hidden="1"/>
    </xf>
    <xf numFmtId="3" fontId="16" fillId="8" borderId="41" xfId="0" applyNumberFormat="1" applyFont="1" applyFill="1" applyBorder="1" applyAlignment="1" applyProtection="1">
      <alignment vertical="justify"/>
      <protection hidden="1"/>
    </xf>
    <xf numFmtId="4" fontId="16" fillId="0" borderId="0" xfId="0" applyNumberFormat="1" applyFont="1" applyProtection="1">
      <protection hidden="1"/>
    </xf>
    <xf numFmtId="10" fontId="16" fillId="0" borderId="0" xfId="0" applyNumberFormat="1" applyFont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60" fillId="11" borderId="0" xfId="0" applyFont="1" applyFill="1" applyAlignment="1" applyProtection="1">
      <alignment horizontal="center"/>
      <protection hidden="1"/>
    </xf>
    <xf numFmtId="10" fontId="21" fillId="7" borderId="36" xfId="0" applyNumberFormat="1" applyFont="1" applyFill="1" applyBorder="1" applyAlignment="1" applyProtection="1">
      <alignment horizontal="center" vertical="justify"/>
      <protection hidden="1"/>
    </xf>
    <xf numFmtId="10" fontId="21" fillId="10" borderId="0" xfId="0" applyNumberFormat="1" applyFont="1" applyFill="1" applyBorder="1" applyAlignment="1" applyProtection="1">
      <alignment horizontal="center" vertical="justify"/>
      <protection hidden="1"/>
    </xf>
    <xf numFmtId="166" fontId="21" fillId="10" borderId="0" xfId="0" applyNumberFormat="1" applyFont="1" applyFill="1" applyBorder="1" applyAlignment="1" applyProtection="1">
      <alignment horizontal="center" vertical="justify"/>
      <protection hidden="1"/>
    </xf>
    <xf numFmtId="0" fontId="63" fillId="11" borderId="9" xfId="0" applyFont="1" applyFill="1" applyBorder="1" applyAlignment="1" applyProtection="1">
      <alignment horizontal="center"/>
      <protection hidden="1"/>
    </xf>
    <xf numFmtId="0" fontId="25" fillId="8" borderId="24" xfId="0" applyFont="1" applyFill="1" applyBorder="1" applyAlignment="1" applyProtection="1">
      <alignment horizontal="center" vertical="center"/>
      <protection hidden="1"/>
    </xf>
    <xf numFmtId="0" fontId="25" fillId="8" borderId="1" xfId="0" applyFont="1" applyFill="1" applyBorder="1" applyAlignment="1" applyProtection="1">
      <alignment horizontal="center" vertical="center"/>
      <protection hidden="1"/>
    </xf>
    <xf numFmtId="0" fontId="25" fillId="8" borderId="2" xfId="0" applyFont="1" applyFill="1" applyBorder="1" applyAlignment="1" applyProtection="1">
      <alignment horizontal="center" vertical="center"/>
      <protection hidden="1"/>
    </xf>
    <xf numFmtId="166" fontId="20" fillId="7" borderId="41" xfId="0" applyNumberFormat="1" applyFont="1" applyFill="1" applyBorder="1" applyAlignment="1" applyProtection="1">
      <alignment horizontal="center" vertical="justify"/>
      <protection hidden="1"/>
    </xf>
    <xf numFmtId="166" fontId="25" fillId="8" borderId="27" xfId="0" applyNumberFormat="1" applyFont="1" applyFill="1" applyBorder="1" applyAlignment="1" applyProtection="1">
      <alignment vertical="justify"/>
      <protection hidden="1"/>
    </xf>
    <xf numFmtId="10" fontId="21" fillId="7" borderId="0" xfId="0" applyNumberFormat="1" applyFont="1" applyFill="1" applyBorder="1" applyAlignment="1" applyProtection="1">
      <alignment horizontal="center" vertical="justify"/>
      <protection hidden="1"/>
    </xf>
    <xf numFmtId="1" fontId="13" fillId="10" borderId="0" xfId="0" applyNumberFormat="1" applyFont="1" applyFill="1" applyBorder="1" applyAlignment="1" applyProtection="1">
      <alignment horizontal="center"/>
      <protection hidden="1"/>
    </xf>
    <xf numFmtId="9" fontId="29" fillId="6" borderId="34" xfId="0" applyNumberFormat="1" applyFont="1" applyFill="1" applyBorder="1" applyAlignment="1" applyProtection="1">
      <alignment horizontal="center" vertical="center"/>
      <protection hidden="1"/>
    </xf>
    <xf numFmtId="9" fontId="29" fillId="6" borderId="5" xfId="0" applyNumberFormat="1" applyFont="1" applyFill="1" applyBorder="1" applyAlignment="1" applyProtection="1">
      <alignment horizontal="center" vertical="center"/>
      <protection hidden="1"/>
    </xf>
    <xf numFmtId="9" fontId="29" fillId="6" borderId="6" xfId="0" applyNumberFormat="1" applyFont="1" applyFill="1" applyBorder="1" applyAlignment="1" applyProtection="1">
      <alignment horizontal="center" vertical="center"/>
      <protection hidden="1"/>
    </xf>
    <xf numFmtId="10" fontId="64" fillId="7" borderId="61" xfId="0" applyNumberFormat="1" applyFont="1" applyFill="1" applyBorder="1" applyAlignment="1" applyProtection="1">
      <alignment horizontal="center"/>
      <protection hidden="1"/>
    </xf>
    <xf numFmtId="1" fontId="52" fillId="12" borderId="58" xfId="0" applyNumberFormat="1" applyFont="1" applyFill="1" applyBorder="1" applyAlignment="1" applyProtection="1">
      <alignment horizontal="center"/>
      <protection hidden="1"/>
    </xf>
    <xf numFmtId="10" fontId="52" fillId="13" borderId="53" xfId="0" applyNumberFormat="1" applyFont="1" applyFill="1" applyBorder="1" applyAlignment="1" applyProtection="1">
      <alignment horizontal="center" vertical="center"/>
      <protection hidden="1"/>
    </xf>
    <xf numFmtId="10" fontId="52" fillId="7" borderId="42" xfId="0" applyNumberFormat="1" applyFont="1" applyFill="1" applyBorder="1" applyAlignment="1" applyProtection="1">
      <alignment horizontal="center" vertical="center"/>
      <protection hidden="1"/>
    </xf>
    <xf numFmtId="1" fontId="52" fillId="7" borderId="55" xfId="0" applyNumberFormat="1" applyFont="1" applyFill="1" applyBorder="1" applyAlignment="1" applyProtection="1">
      <alignment horizontal="center" vertical="center"/>
      <protection hidden="1"/>
    </xf>
    <xf numFmtId="10" fontId="65" fillId="14" borderId="13" xfId="0" applyNumberFormat="1" applyFont="1" applyFill="1" applyBorder="1" applyAlignment="1" applyProtection="1">
      <alignment horizontal="center" vertical="center"/>
      <protection hidden="1"/>
    </xf>
    <xf numFmtId="10" fontId="52" fillId="15" borderId="13" xfId="0" applyNumberFormat="1" applyFont="1" applyFill="1" applyBorder="1" applyAlignment="1" applyProtection="1">
      <alignment horizontal="center" vertical="center"/>
      <protection hidden="1"/>
    </xf>
    <xf numFmtId="10" fontId="66" fillId="16" borderId="13" xfId="0" applyNumberFormat="1" applyFont="1" applyFill="1" applyBorder="1" applyAlignment="1" applyProtection="1">
      <alignment horizontal="center" vertical="center"/>
      <protection hidden="1"/>
    </xf>
    <xf numFmtId="10" fontId="64" fillId="9" borderId="13" xfId="0" applyNumberFormat="1" applyFont="1" applyFill="1" applyBorder="1" applyAlignment="1" applyProtection="1">
      <alignment horizontal="center" vertical="center"/>
      <protection hidden="1"/>
    </xf>
    <xf numFmtId="10" fontId="67" fillId="17" borderId="13" xfId="0" applyNumberFormat="1" applyFont="1" applyFill="1" applyBorder="1" applyAlignment="1" applyProtection="1">
      <alignment horizontal="center" vertical="center"/>
      <protection hidden="1"/>
    </xf>
    <xf numFmtId="1" fontId="52" fillId="10" borderId="0" xfId="0" applyNumberFormat="1" applyFont="1" applyFill="1" applyBorder="1" applyAlignment="1" applyProtection="1">
      <alignment horizontal="center" vertical="center"/>
      <protection hidden="1"/>
    </xf>
    <xf numFmtId="166" fontId="52" fillId="10" borderId="0" xfId="0" applyNumberFormat="1" applyFont="1" applyFill="1" applyBorder="1" applyAlignment="1" applyProtection="1">
      <alignment horizontal="center" vertical="center"/>
      <protection hidden="1"/>
    </xf>
    <xf numFmtId="10" fontId="29" fillId="5" borderId="29" xfId="0" applyNumberFormat="1" applyFont="1" applyFill="1" applyBorder="1" applyAlignment="1" applyProtection="1">
      <alignment horizontal="center"/>
      <protection hidden="1"/>
    </xf>
    <xf numFmtId="3" fontId="29" fillId="5" borderId="13" xfId="0" applyNumberFormat="1" applyFont="1" applyFill="1" applyBorder="1" applyAlignment="1" applyProtection="1">
      <alignment horizontal="center"/>
      <protection hidden="1"/>
    </xf>
    <xf numFmtId="4" fontId="29" fillId="5" borderId="13" xfId="0" applyNumberFormat="1" applyFont="1" applyFill="1" applyBorder="1" applyAlignment="1" applyProtection="1">
      <alignment horizontal="center"/>
      <protection hidden="1"/>
    </xf>
    <xf numFmtId="10" fontId="29" fillId="5" borderId="6" xfId="0" applyNumberFormat="1" applyFont="1" applyFill="1" applyBorder="1" applyAlignment="1" applyProtection="1">
      <alignment horizontal="center"/>
      <protection hidden="1"/>
    </xf>
    <xf numFmtId="10" fontId="29" fillId="18" borderId="13" xfId="0" applyNumberFormat="1" applyFont="1" applyFill="1" applyBorder="1" applyAlignment="1" applyProtection="1">
      <alignment horizontal="center"/>
      <protection hidden="1"/>
    </xf>
    <xf numFmtId="10" fontId="16" fillId="5" borderId="13" xfId="0" applyNumberFormat="1" applyFont="1" applyFill="1" applyBorder="1" applyAlignment="1" applyProtection="1">
      <alignment horizontal="center"/>
      <protection hidden="1"/>
    </xf>
    <xf numFmtId="0" fontId="16" fillId="5" borderId="13" xfId="0" applyFont="1" applyFill="1" applyBorder="1" applyAlignment="1" applyProtection="1">
      <alignment horizontal="center"/>
      <protection hidden="1"/>
    </xf>
    <xf numFmtId="10" fontId="64" fillId="7" borderId="45" xfId="0" applyNumberFormat="1" applyFont="1" applyFill="1" applyBorder="1" applyAlignment="1" applyProtection="1">
      <alignment horizontal="center"/>
      <protection hidden="1"/>
    </xf>
    <xf numFmtId="1" fontId="52" fillId="12" borderId="58" xfId="0" applyNumberFormat="1" applyFont="1" applyFill="1" applyBorder="1" applyAlignment="1" applyProtection="1">
      <alignment horizontal="center" vertical="center"/>
      <protection hidden="1"/>
    </xf>
    <xf numFmtId="10" fontId="52" fillId="13" borderId="64" xfId="0" applyNumberFormat="1" applyFont="1" applyFill="1" applyBorder="1" applyAlignment="1" applyProtection="1">
      <alignment horizontal="center" vertical="center"/>
      <protection hidden="1"/>
    </xf>
    <xf numFmtId="10" fontId="52" fillId="7" borderId="45" xfId="0" applyNumberFormat="1" applyFont="1" applyFill="1" applyBorder="1" applyAlignment="1" applyProtection="1">
      <alignment horizontal="center" vertical="center"/>
      <protection hidden="1"/>
    </xf>
    <xf numFmtId="1" fontId="52" fillId="7" borderId="58" xfId="0" applyNumberFormat="1" applyFont="1" applyFill="1" applyBorder="1" applyAlignment="1" applyProtection="1">
      <alignment horizontal="center" vertical="center"/>
      <protection hidden="1"/>
    </xf>
    <xf numFmtId="10" fontId="52" fillId="15" borderId="6" xfId="0" applyNumberFormat="1" applyFont="1" applyFill="1" applyBorder="1" applyAlignment="1" applyProtection="1">
      <alignment horizontal="center" vertical="center"/>
      <protection hidden="1"/>
    </xf>
    <xf numFmtId="10" fontId="64" fillId="9" borderId="6" xfId="0" applyNumberFormat="1" applyFont="1" applyFill="1" applyBorder="1" applyAlignment="1" applyProtection="1">
      <alignment horizontal="center" vertical="center"/>
      <protection hidden="1"/>
    </xf>
    <xf numFmtId="10" fontId="67" fillId="17" borderId="6" xfId="0" applyNumberFormat="1" applyFont="1" applyFill="1" applyBorder="1" applyAlignment="1" applyProtection="1">
      <alignment horizontal="center" vertical="center"/>
      <protection hidden="1"/>
    </xf>
    <xf numFmtId="10" fontId="29" fillId="19" borderId="26" xfId="0" applyNumberFormat="1" applyFont="1" applyFill="1" applyBorder="1" applyAlignment="1" applyProtection="1">
      <alignment horizontal="center"/>
      <protection hidden="1"/>
    </xf>
    <xf numFmtId="3" fontId="29" fillId="20" borderId="6" xfId="0" applyNumberFormat="1" applyFont="1" applyFill="1" applyBorder="1" applyAlignment="1" applyProtection="1">
      <alignment horizontal="center"/>
      <protection hidden="1"/>
    </xf>
    <xf numFmtId="4" fontId="29" fillId="4" borderId="6" xfId="0" applyNumberFormat="1" applyFont="1" applyFill="1" applyBorder="1" applyAlignment="1" applyProtection="1">
      <alignment horizontal="center"/>
      <protection hidden="1"/>
    </xf>
    <xf numFmtId="10" fontId="29" fillId="20" borderId="6" xfId="0" applyNumberFormat="1" applyFont="1" applyFill="1" applyBorder="1" applyAlignment="1" applyProtection="1">
      <alignment horizontal="center"/>
      <protection hidden="1"/>
    </xf>
    <xf numFmtId="10" fontId="29" fillId="20" borderId="13" xfId="0" applyNumberFormat="1" applyFont="1" applyFill="1" applyBorder="1" applyAlignment="1" applyProtection="1">
      <alignment horizontal="center"/>
      <protection hidden="1"/>
    </xf>
    <xf numFmtId="10" fontId="16" fillId="4" borderId="6" xfId="0" applyNumberFormat="1" applyFont="1" applyFill="1" applyBorder="1" applyAlignment="1" applyProtection="1">
      <alignment horizontal="center"/>
      <protection hidden="1"/>
    </xf>
    <xf numFmtId="0" fontId="16" fillId="4" borderId="6" xfId="0" applyFont="1" applyFill="1" applyBorder="1" applyAlignment="1" applyProtection="1">
      <alignment horizontal="center"/>
      <protection hidden="1"/>
    </xf>
    <xf numFmtId="10" fontId="52" fillId="4" borderId="66" xfId="0" applyNumberFormat="1" applyFont="1" applyFill="1" applyBorder="1" applyAlignment="1" applyProtection="1">
      <alignment horizontal="center"/>
      <protection hidden="1"/>
    </xf>
    <xf numFmtId="10" fontId="52" fillId="4" borderId="58" xfId="0" applyNumberFormat="1" applyFont="1" applyFill="1" applyBorder="1" applyAlignment="1" applyProtection="1">
      <alignment horizontal="center"/>
      <protection hidden="1"/>
    </xf>
    <xf numFmtId="10" fontId="52" fillId="7" borderId="45" xfId="0" applyNumberFormat="1" applyFont="1" applyFill="1" applyBorder="1" applyAlignment="1" applyProtection="1">
      <alignment horizontal="center"/>
      <protection hidden="1"/>
    </xf>
    <xf numFmtId="1" fontId="52" fillId="7" borderId="58" xfId="0" applyNumberFormat="1" applyFont="1" applyFill="1" applyBorder="1" applyAlignment="1" applyProtection="1">
      <alignment horizontal="center"/>
      <protection hidden="1"/>
    </xf>
    <xf numFmtId="10" fontId="64" fillId="9" borderId="6" xfId="0" applyNumberFormat="1" applyFont="1" applyFill="1" applyBorder="1" applyAlignment="1" applyProtection="1">
      <alignment horizontal="center"/>
      <protection hidden="1"/>
    </xf>
    <xf numFmtId="10" fontId="67" fillId="17" borderId="6" xfId="0" applyNumberFormat="1" applyFont="1" applyFill="1" applyBorder="1" applyAlignment="1" applyProtection="1">
      <alignment horizontal="center"/>
      <protection hidden="1"/>
    </xf>
    <xf numFmtId="1" fontId="52" fillId="10" borderId="0" xfId="0" applyNumberFormat="1" applyFont="1" applyFill="1" applyBorder="1" applyAlignment="1" applyProtection="1">
      <alignment horizontal="center"/>
      <protection hidden="1"/>
    </xf>
    <xf numFmtId="166" fontId="52" fillId="10" borderId="0" xfId="0" applyNumberFormat="1" applyFont="1" applyFill="1" applyBorder="1" applyAlignment="1" applyProtection="1">
      <alignment horizontal="center"/>
      <protection hidden="1"/>
    </xf>
    <xf numFmtId="10" fontId="29" fillId="0" borderId="26" xfId="0" applyNumberFormat="1" applyFont="1" applyBorder="1" applyAlignment="1" applyProtection="1">
      <alignment horizontal="center"/>
      <protection hidden="1"/>
    </xf>
    <xf numFmtId="4" fontId="29" fillId="0" borderId="6" xfId="0" applyNumberFormat="1" applyFont="1" applyBorder="1" applyAlignment="1" applyProtection="1">
      <alignment horizontal="center"/>
      <protection hidden="1"/>
    </xf>
    <xf numFmtId="10" fontId="16" fillId="0" borderId="6" xfId="0" applyNumberFormat="1" applyFont="1" applyBorder="1" applyAlignment="1" applyProtection="1">
      <alignment horizontal="center"/>
      <protection hidden="1"/>
    </xf>
    <xf numFmtId="0" fontId="16" fillId="0" borderId="6" xfId="0" applyFont="1" applyBorder="1" applyAlignment="1" applyProtection="1">
      <alignment horizontal="center"/>
      <protection hidden="1"/>
    </xf>
    <xf numFmtId="0" fontId="16" fillId="7" borderId="41" xfId="0" applyFont="1" applyFill="1" applyBorder="1" applyAlignment="1" applyProtection="1">
      <alignment horizontal="center"/>
      <protection hidden="1"/>
    </xf>
    <xf numFmtId="0" fontId="19" fillId="0" borderId="36" xfId="0" applyFont="1" applyBorder="1" applyAlignment="1" applyProtection="1">
      <alignment horizontal="center" vertical="justify"/>
      <protection hidden="1"/>
    </xf>
    <xf numFmtId="10" fontId="13" fillId="4" borderId="66" xfId="0" applyNumberFormat="1" applyFont="1" applyFill="1" applyBorder="1" applyAlignment="1" applyProtection="1">
      <alignment horizontal="center" vertical="justify"/>
      <protection hidden="1"/>
    </xf>
    <xf numFmtId="10" fontId="13" fillId="4" borderId="58" xfId="0" applyNumberFormat="1" applyFont="1" applyFill="1" applyBorder="1" applyAlignment="1" applyProtection="1">
      <protection hidden="1"/>
    </xf>
    <xf numFmtId="10" fontId="13" fillId="7" borderId="45" xfId="0" applyNumberFormat="1" applyFont="1" applyFill="1" applyBorder="1" applyAlignment="1" applyProtection="1">
      <alignment horizontal="center"/>
      <protection hidden="1"/>
    </xf>
    <xf numFmtId="1" fontId="13" fillId="7" borderId="58" xfId="0" applyNumberFormat="1" applyFont="1" applyFill="1" applyBorder="1" applyAlignment="1" applyProtection="1">
      <alignment horizontal="center"/>
      <protection hidden="1"/>
    </xf>
    <xf numFmtId="166" fontId="13" fillId="10" borderId="0" xfId="0" applyNumberFormat="1" applyFont="1" applyFill="1" applyBorder="1" applyAlignment="1" applyProtection="1">
      <alignment horizontal="center"/>
      <protection hidden="1"/>
    </xf>
    <xf numFmtId="3" fontId="29" fillId="5" borderId="6" xfId="0" applyNumberFormat="1" applyFont="1" applyFill="1" applyBorder="1" applyAlignment="1" applyProtection="1">
      <alignment horizontal="center"/>
      <protection hidden="1"/>
    </xf>
    <xf numFmtId="0" fontId="16" fillId="8" borderId="42" xfId="0" applyFont="1" applyFill="1" applyBorder="1" applyAlignment="1" applyProtection="1">
      <alignment horizontal="center"/>
      <protection hidden="1"/>
    </xf>
    <xf numFmtId="0" fontId="16" fillId="8" borderId="44" xfId="0" applyFont="1" applyFill="1" applyBorder="1" applyAlignment="1" applyProtection="1">
      <alignment horizontal="center"/>
      <protection hidden="1"/>
    </xf>
    <xf numFmtId="10" fontId="29" fillId="5" borderId="26" xfId="0" applyNumberFormat="1" applyFont="1" applyFill="1" applyBorder="1" applyAlignment="1" applyProtection="1">
      <alignment horizontal="center"/>
      <protection hidden="1"/>
    </xf>
    <xf numFmtId="4" fontId="29" fillId="5" borderId="6" xfId="0" applyNumberFormat="1" applyFont="1" applyFill="1" applyBorder="1" applyAlignment="1" applyProtection="1">
      <alignment horizontal="center"/>
      <protection hidden="1"/>
    </xf>
    <xf numFmtId="10" fontId="29" fillId="5" borderId="13" xfId="0" applyNumberFormat="1" applyFont="1" applyFill="1" applyBorder="1" applyAlignment="1" applyProtection="1">
      <alignment horizontal="center"/>
      <protection hidden="1"/>
    </xf>
    <xf numFmtId="10" fontId="16" fillId="5" borderId="6" xfId="0" applyNumberFormat="1" applyFont="1" applyFill="1" applyBorder="1" applyAlignment="1" applyProtection="1">
      <alignment horizontal="center"/>
      <protection hidden="1"/>
    </xf>
    <xf numFmtId="0" fontId="16" fillId="5" borderId="6" xfId="0" applyFont="1" applyFill="1" applyBorder="1" applyAlignment="1" applyProtection="1">
      <alignment horizontal="center"/>
      <protection hidden="1"/>
    </xf>
    <xf numFmtId="10" fontId="52" fillId="7" borderId="61" xfId="0" applyNumberFormat="1" applyFont="1" applyFill="1" applyBorder="1" applyAlignment="1" applyProtection="1">
      <alignment vertical="center"/>
      <protection hidden="1"/>
    </xf>
    <xf numFmtId="10" fontId="52" fillId="21" borderId="66" xfId="0" applyNumberFormat="1" applyFont="1" applyFill="1" applyBorder="1" applyAlignment="1" applyProtection="1">
      <alignment horizontal="center"/>
      <protection hidden="1"/>
    </xf>
    <xf numFmtId="10" fontId="52" fillId="21" borderId="58" xfId="0" applyNumberFormat="1" applyFont="1" applyFill="1" applyBorder="1" applyAlignment="1" applyProtection="1">
      <alignment horizontal="center"/>
      <protection hidden="1"/>
    </xf>
    <xf numFmtId="10" fontId="68" fillId="16" borderId="13" xfId="0" applyNumberFormat="1" applyFont="1" applyFill="1" applyBorder="1" applyAlignment="1" applyProtection="1">
      <alignment horizontal="center" vertical="center"/>
      <protection hidden="1"/>
    </xf>
    <xf numFmtId="10" fontId="29" fillId="21" borderId="26" xfId="0" applyNumberFormat="1" applyFont="1" applyFill="1" applyBorder="1" applyAlignment="1" applyProtection="1">
      <alignment horizontal="center"/>
      <protection hidden="1"/>
    </xf>
    <xf numFmtId="3" fontId="29" fillId="21" borderId="6" xfId="0" applyNumberFormat="1" applyFont="1" applyFill="1" applyBorder="1" applyAlignment="1" applyProtection="1">
      <alignment horizontal="center"/>
      <protection hidden="1"/>
    </xf>
    <xf numFmtId="4" fontId="29" fillId="21" borderId="6" xfId="0" applyNumberFormat="1" applyFont="1" applyFill="1" applyBorder="1" applyAlignment="1" applyProtection="1">
      <alignment horizontal="center"/>
      <protection hidden="1"/>
    </xf>
    <xf numFmtId="10" fontId="29" fillId="21" borderId="6" xfId="0" applyNumberFormat="1" applyFont="1" applyFill="1" applyBorder="1" applyAlignment="1" applyProtection="1">
      <alignment horizontal="center"/>
      <protection hidden="1"/>
    </xf>
    <xf numFmtId="10" fontId="29" fillId="21" borderId="13" xfId="0" applyNumberFormat="1" applyFont="1" applyFill="1" applyBorder="1" applyAlignment="1" applyProtection="1">
      <alignment horizontal="center"/>
      <protection hidden="1"/>
    </xf>
    <xf numFmtId="10" fontId="16" fillId="21" borderId="6" xfId="0" applyNumberFormat="1" applyFont="1" applyFill="1" applyBorder="1" applyAlignment="1" applyProtection="1">
      <alignment horizontal="center"/>
      <protection hidden="1"/>
    </xf>
    <xf numFmtId="0" fontId="16" fillId="21" borderId="6" xfId="0" applyFont="1" applyFill="1" applyBorder="1" applyAlignment="1" applyProtection="1">
      <alignment horizontal="center"/>
      <protection hidden="1"/>
    </xf>
    <xf numFmtId="10" fontId="52" fillId="7" borderId="61" xfId="0" applyNumberFormat="1" applyFont="1" applyFill="1" applyBorder="1" applyAlignment="1" applyProtection="1">
      <alignment horizontal="center" vertical="center"/>
      <protection hidden="1"/>
    </xf>
    <xf numFmtId="0" fontId="16" fillId="0" borderId="6" xfId="0" applyFont="1" applyBorder="1" applyProtection="1">
      <protection hidden="1"/>
    </xf>
    <xf numFmtId="10" fontId="29" fillId="4" borderId="26" xfId="0" applyNumberFormat="1" applyFont="1" applyFill="1" applyBorder="1" applyAlignment="1" applyProtection="1">
      <alignment horizontal="center"/>
      <protection hidden="1"/>
    </xf>
    <xf numFmtId="0" fontId="16" fillId="4" borderId="6" xfId="0" applyFont="1" applyFill="1" applyBorder="1" applyProtection="1">
      <protection hidden="1"/>
    </xf>
    <xf numFmtId="10" fontId="52" fillId="7" borderId="45" xfId="0" applyNumberFormat="1" applyFont="1" applyFill="1" applyBorder="1" applyAlignment="1" applyProtection="1">
      <alignment vertical="center"/>
      <protection hidden="1"/>
    </xf>
    <xf numFmtId="10" fontId="52" fillId="5" borderId="66" xfId="0" applyNumberFormat="1" applyFont="1" applyFill="1" applyBorder="1" applyAlignment="1" applyProtection="1">
      <alignment horizontal="center"/>
      <protection hidden="1"/>
    </xf>
    <xf numFmtId="10" fontId="52" fillId="5" borderId="58" xfId="0" applyNumberFormat="1" applyFont="1" applyFill="1" applyBorder="1" applyAlignment="1" applyProtection="1">
      <alignment horizontal="center"/>
      <protection hidden="1"/>
    </xf>
    <xf numFmtId="10" fontId="29" fillId="18" borderId="6" xfId="0" applyNumberFormat="1" applyFont="1" applyFill="1" applyBorder="1" applyAlignment="1" applyProtection="1">
      <alignment horizontal="center"/>
      <protection hidden="1"/>
    </xf>
    <xf numFmtId="9" fontId="29" fillId="6" borderId="35" xfId="0" applyNumberFormat="1" applyFont="1" applyFill="1" applyBorder="1" applyAlignment="1" applyProtection="1">
      <alignment horizontal="center" vertical="center"/>
      <protection hidden="1"/>
    </xf>
    <xf numFmtId="9" fontId="29" fillId="6" borderId="7" xfId="0" applyNumberFormat="1" applyFont="1" applyFill="1" applyBorder="1" applyAlignment="1" applyProtection="1">
      <alignment horizontal="center" vertical="center"/>
      <protection hidden="1"/>
    </xf>
    <xf numFmtId="9" fontId="29" fillId="6" borderId="8" xfId="0" applyNumberFormat="1" applyFont="1" applyFill="1" applyBorder="1" applyAlignment="1" applyProtection="1">
      <alignment horizontal="center" vertical="center"/>
      <protection hidden="1"/>
    </xf>
    <xf numFmtId="10" fontId="52" fillId="5" borderId="71" xfId="0" applyNumberFormat="1" applyFont="1" applyFill="1" applyBorder="1" applyAlignment="1" applyProtection="1">
      <alignment horizontal="center"/>
      <protection hidden="1"/>
    </xf>
    <xf numFmtId="10" fontId="65" fillId="14" borderId="16" xfId="0" applyNumberFormat="1" applyFont="1" applyFill="1" applyBorder="1" applyAlignment="1" applyProtection="1">
      <alignment horizontal="center" vertical="center"/>
      <protection hidden="1"/>
    </xf>
    <xf numFmtId="10" fontId="52" fillId="15" borderId="17" xfId="0" applyNumberFormat="1" applyFont="1" applyFill="1" applyBorder="1" applyAlignment="1" applyProtection="1">
      <alignment horizontal="center" vertical="center"/>
      <protection hidden="1"/>
    </xf>
    <xf numFmtId="10" fontId="66" fillId="16" borderId="16" xfId="0" applyNumberFormat="1" applyFont="1" applyFill="1" applyBorder="1" applyAlignment="1" applyProtection="1">
      <alignment horizontal="center" vertical="center"/>
      <protection hidden="1"/>
    </xf>
    <xf numFmtId="10" fontId="64" fillId="9" borderId="17" xfId="0" applyNumberFormat="1" applyFont="1" applyFill="1" applyBorder="1" applyAlignment="1" applyProtection="1">
      <alignment horizontal="center"/>
      <protection hidden="1"/>
    </xf>
    <xf numFmtId="10" fontId="67" fillId="17" borderId="17" xfId="0" applyNumberFormat="1" applyFont="1" applyFill="1" applyBorder="1" applyAlignment="1" applyProtection="1">
      <alignment horizontal="center"/>
      <protection hidden="1"/>
    </xf>
    <xf numFmtId="10" fontId="29" fillId="5" borderId="28" xfId="0" applyNumberFormat="1" applyFont="1" applyFill="1" applyBorder="1" applyAlignment="1" applyProtection="1">
      <alignment horizontal="center"/>
      <protection hidden="1"/>
    </xf>
    <xf numFmtId="3" fontId="29" fillId="5" borderId="17" xfId="0" applyNumberFormat="1" applyFont="1" applyFill="1" applyBorder="1" applyAlignment="1" applyProtection="1">
      <alignment horizontal="center"/>
      <protection hidden="1"/>
    </xf>
    <xf numFmtId="4" fontId="29" fillId="5" borderId="17" xfId="0" applyNumberFormat="1" applyFont="1" applyFill="1" applyBorder="1" applyAlignment="1" applyProtection="1">
      <alignment horizontal="center"/>
      <protection hidden="1"/>
    </xf>
    <xf numFmtId="10" fontId="16" fillId="5" borderId="17" xfId="0" applyNumberFormat="1" applyFont="1" applyFill="1" applyBorder="1" applyAlignment="1" applyProtection="1">
      <alignment horizontal="center"/>
      <protection hidden="1"/>
    </xf>
    <xf numFmtId="0" fontId="16" fillId="5" borderId="17" xfId="0" applyFont="1" applyFill="1" applyBorder="1" applyAlignment="1" applyProtection="1">
      <alignment horizontal="center"/>
      <protection hidden="1"/>
    </xf>
    <xf numFmtId="10" fontId="64" fillId="7" borderId="41" xfId="0" applyNumberFormat="1" applyFont="1" applyFill="1" applyBorder="1" applyAlignment="1" applyProtection="1">
      <alignment horizontal="center"/>
      <protection hidden="1"/>
    </xf>
    <xf numFmtId="1" fontId="70" fillId="8" borderId="40" xfId="0" applyNumberFormat="1" applyFont="1" applyFill="1" applyBorder="1" applyAlignment="1" applyProtection="1">
      <alignment horizontal="center"/>
      <protection hidden="1"/>
    </xf>
    <xf numFmtId="1" fontId="70" fillId="8" borderId="41" xfId="0" applyNumberFormat="1" applyFont="1" applyFill="1" applyBorder="1" applyAlignment="1" applyProtection="1">
      <alignment horizontal="center"/>
      <protection hidden="1"/>
    </xf>
    <xf numFmtId="10" fontId="70" fillId="8" borderId="69" xfId="0" applyNumberFormat="1" applyFont="1" applyFill="1" applyBorder="1" applyAlignment="1" applyProtection="1">
      <alignment horizontal="center"/>
      <protection hidden="1"/>
    </xf>
    <xf numFmtId="10" fontId="70" fillId="7" borderId="41" xfId="0" applyNumberFormat="1" applyFont="1" applyFill="1" applyBorder="1" applyAlignment="1" applyProtection="1">
      <alignment horizontal="center"/>
      <protection hidden="1"/>
    </xf>
    <xf numFmtId="1" fontId="70" fillId="7" borderId="40" xfId="0" applyNumberFormat="1" applyFont="1" applyFill="1" applyBorder="1" applyAlignment="1" applyProtection="1">
      <alignment horizontal="center"/>
      <protection hidden="1"/>
    </xf>
    <xf numFmtId="10" fontId="70" fillId="9" borderId="41" xfId="0" applyNumberFormat="1" applyFont="1" applyFill="1" applyBorder="1" applyAlignment="1" applyProtection="1">
      <alignment horizontal="center"/>
      <protection hidden="1"/>
    </xf>
    <xf numFmtId="10" fontId="70" fillId="9" borderId="52" xfId="0" applyNumberFormat="1" applyFont="1" applyFill="1" applyBorder="1" applyAlignment="1" applyProtection="1">
      <alignment horizontal="center"/>
      <protection hidden="1"/>
    </xf>
    <xf numFmtId="10" fontId="71" fillId="9" borderId="52" xfId="0" applyNumberFormat="1" applyFont="1" applyFill="1" applyBorder="1" applyAlignment="1" applyProtection="1">
      <alignment horizontal="center"/>
      <protection hidden="1"/>
    </xf>
    <xf numFmtId="10" fontId="70" fillId="9" borderId="51" xfId="0" applyNumberFormat="1" applyFont="1" applyFill="1" applyBorder="1" applyAlignment="1" applyProtection="1">
      <alignment horizontal="center"/>
      <protection hidden="1"/>
    </xf>
    <xf numFmtId="10" fontId="71" fillId="9" borderId="32" xfId="0" applyNumberFormat="1" applyFont="1" applyFill="1" applyBorder="1" applyAlignment="1" applyProtection="1">
      <alignment horizontal="center"/>
      <protection hidden="1"/>
    </xf>
    <xf numFmtId="1" fontId="70" fillId="10" borderId="0" xfId="0" applyNumberFormat="1" applyFont="1" applyFill="1" applyBorder="1" applyAlignment="1" applyProtection="1">
      <alignment horizontal="center"/>
      <protection hidden="1"/>
    </xf>
    <xf numFmtId="166" fontId="70" fillId="10" borderId="0" xfId="0" applyNumberFormat="1" applyFont="1" applyFill="1" applyBorder="1" applyAlignment="1" applyProtection="1">
      <alignment horizontal="center"/>
      <protection hidden="1"/>
    </xf>
    <xf numFmtId="10" fontId="70" fillId="8" borderId="52" xfId="0" applyNumberFormat="1" applyFont="1" applyFill="1" applyBorder="1" applyAlignment="1" applyProtection="1">
      <alignment horizontal="center"/>
      <protection hidden="1"/>
    </xf>
    <xf numFmtId="3" fontId="70" fillId="8" borderId="41" xfId="0" applyNumberFormat="1" applyFont="1" applyFill="1" applyBorder="1" applyAlignment="1" applyProtection="1">
      <alignment horizontal="center"/>
      <protection hidden="1"/>
    </xf>
    <xf numFmtId="4" fontId="70" fillId="8" borderId="41" xfId="0" applyNumberFormat="1" applyFont="1" applyFill="1" applyBorder="1" applyAlignment="1" applyProtection="1">
      <alignment horizontal="center"/>
      <protection hidden="1"/>
    </xf>
    <xf numFmtId="10" fontId="70" fillId="21" borderId="41" xfId="0" applyNumberFormat="1" applyFont="1" applyFill="1" applyBorder="1" applyAlignment="1" applyProtection="1">
      <alignment horizontal="center"/>
      <protection hidden="1"/>
    </xf>
    <xf numFmtId="10" fontId="29" fillId="12" borderId="6" xfId="0" applyNumberFormat="1" applyFont="1" applyFill="1" applyBorder="1" applyAlignment="1" applyProtection="1">
      <alignment horizontal="center"/>
      <protection hidden="1"/>
    </xf>
    <xf numFmtId="0" fontId="29" fillId="12" borderId="6" xfId="0" applyFont="1" applyFill="1" applyBorder="1" applyAlignment="1" applyProtection="1">
      <alignment horizontal="center"/>
      <protection hidden="1"/>
    </xf>
    <xf numFmtId="0" fontId="40" fillId="0" borderId="0" xfId="1" applyFont="1" applyAlignment="1" applyProtection="1">
      <protection hidden="1"/>
    </xf>
    <xf numFmtId="0" fontId="29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9" fillId="0" borderId="0" xfId="0" applyFont="1" applyAlignment="1" applyProtection="1">
      <alignment horizontal="center" vertic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166" fontId="16" fillId="0" borderId="0" xfId="0" applyNumberFormat="1" applyFont="1" applyProtection="1">
      <protection hidden="1"/>
    </xf>
    <xf numFmtId="3" fontId="16" fillId="0" borderId="0" xfId="0" applyNumberFormat="1" applyFont="1" applyProtection="1">
      <protection hidden="1"/>
    </xf>
    <xf numFmtId="0" fontId="22" fillId="0" borderId="0" xfId="0" applyFont="1" applyAlignment="1" applyProtection="1">
      <alignment vertical="center"/>
      <protection hidden="1"/>
    </xf>
    <xf numFmtId="0" fontId="21" fillId="0" borderId="0" xfId="0" applyFont="1" applyProtection="1">
      <protection hidden="1"/>
    </xf>
    <xf numFmtId="0" fontId="31" fillId="0" borderId="0" xfId="1" applyFont="1" applyAlignment="1" applyProtection="1">
      <protection hidden="1"/>
    </xf>
    <xf numFmtId="0" fontId="72" fillId="0" borderId="0" xfId="1" applyFont="1" applyAlignment="1" applyProtection="1">
      <protection hidden="1"/>
    </xf>
    <xf numFmtId="0" fontId="72" fillId="0" borderId="0" xfId="1" applyFont="1" applyAlignment="1" applyProtection="1">
      <alignment horizontal="center" vertical="center"/>
      <protection hidden="1"/>
    </xf>
    <xf numFmtId="0" fontId="73" fillId="0" borderId="0" xfId="1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166" fontId="16" fillId="22" borderId="41" xfId="0" applyNumberFormat="1" applyFont="1" applyFill="1" applyBorder="1" applyProtection="1">
      <protection hidden="1"/>
    </xf>
    <xf numFmtId="167" fontId="16" fillId="22" borderId="41" xfId="0" applyNumberFormat="1" applyFont="1" applyFill="1" applyBorder="1" applyProtection="1">
      <protection hidden="1"/>
    </xf>
    <xf numFmtId="0" fontId="63" fillId="7" borderId="56" xfId="0" applyFont="1" applyFill="1" applyBorder="1" applyProtection="1">
      <protection hidden="1"/>
    </xf>
    <xf numFmtId="0" fontId="75" fillId="7" borderId="0" xfId="0" applyFont="1" applyFill="1" applyBorder="1" applyProtection="1">
      <protection hidden="1"/>
    </xf>
    <xf numFmtId="0" fontId="75" fillId="7" borderId="57" xfId="0" applyFont="1" applyFill="1" applyBorder="1" applyAlignment="1" applyProtection="1">
      <alignment horizontal="center" vertical="center"/>
      <protection hidden="1"/>
    </xf>
    <xf numFmtId="166" fontId="76" fillId="6" borderId="0" xfId="0" applyNumberFormat="1" applyFont="1" applyFill="1" applyBorder="1" applyAlignment="1" applyProtection="1">
      <alignment horizontal="center"/>
      <protection hidden="1"/>
    </xf>
    <xf numFmtId="166" fontId="16" fillId="22" borderId="0" xfId="0" applyNumberFormat="1" applyFont="1" applyFill="1" applyBorder="1" applyProtection="1">
      <protection hidden="1"/>
    </xf>
    <xf numFmtId="0" fontId="24" fillId="7" borderId="67" xfId="0" applyFont="1" applyFill="1" applyBorder="1" applyProtection="1">
      <protection hidden="1"/>
    </xf>
    <xf numFmtId="0" fontId="70" fillId="7" borderId="40" xfId="0" applyFont="1" applyFill="1" applyBorder="1" applyProtection="1">
      <protection hidden="1"/>
    </xf>
    <xf numFmtId="0" fontId="70" fillId="7" borderId="59" xfId="0" applyFont="1" applyFill="1" applyBorder="1" applyAlignment="1" applyProtection="1">
      <alignment horizontal="center" vertical="center"/>
      <protection hidden="1"/>
    </xf>
    <xf numFmtId="166" fontId="76" fillId="6" borderId="41" xfId="0" applyNumberFormat="1" applyFont="1" applyFill="1" applyBorder="1" applyAlignment="1" applyProtection="1">
      <alignment horizontal="center"/>
      <protection hidden="1"/>
    </xf>
    <xf numFmtId="9" fontId="76" fillId="6" borderId="41" xfId="0" applyNumberFormat="1" applyFont="1" applyFill="1" applyBorder="1" applyAlignment="1" applyProtection="1">
      <alignment horizontal="center"/>
      <protection hidden="1"/>
    </xf>
    <xf numFmtId="10" fontId="76" fillId="6" borderId="41" xfId="0" applyNumberFormat="1" applyFont="1" applyFill="1" applyBorder="1" applyAlignment="1" applyProtection="1">
      <alignment horizontal="center"/>
      <protection hidden="1"/>
    </xf>
    <xf numFmtId="10" fontId="76" fillId="6" borderId="0" xfId="0" applyNumberFormat="1" applyFont="1" applyFill="1" applyBorder="1" applyAlignment="1" applyProtection="1">
      <alignment horizontal="center"/>
      <protection hidden="1"/>
    </xf>
    <xf numFmtId="167" fontId="77" fillId="6" borderId="41" xfId="0" applyNumberFormat="1" applyFont="1" applyFill="1" applyBorder="1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22" borderId="0" xfId="0" applyFont="1" applyFill="1" applyAlignment="1" applyProtection="1">
      <protection hidden="1"/>
    </xf>
    <xf numFmtId="166" fontId="16" fillId="22" borderId="0" xfId="0" applyNumberFormat="1" applyFont="1" applyFill="1" applyAlignment="1" applyProtection="1">
      <protection hidden="1"/>
    </xf>
    <xf numFmtId="166" fontId="64" fillId="12" borderId="41" xfId="0" applyNumberFormat="1" applyFont="1" applyFill="1" applyBorder="1" applyAlignment="1" applyProtection="1">
      <protection hidden="1"/>
    </xf>
    <xf numFmtId="166" fontId="64" fillId="12" borderId="51" xfId="0" applyNumberFormat="1" applyFont="1" applyFill="1" applyBorder="1" applyAlignment="1" applyProtection="1">
      <protection hidden="1"/>
    </xf>
    <xf numFmtId="166" fontId="64" fillId="22" borderId="51" xfId="0" applyNumberFormat="1" applyFont="1" applyFill="1" applyBorder="1" applyAlignment="1" applyProtection="1">
      <protection hidden="1"/>
    </xf>
    <xf numFmtId="10" fontId="64" fillId="22" borderId="41" xfId="0" applyNumberFormat="1" applyFont="1" applyFill="1" applyBorder="1" applyAlignment="1" applyProtection="1">
      <protection hidden="1"/>
    </xf>
    <xf numFmtId="10" fontId="64" fillId="22" borderId="0" xfId="0" applyNumberFormat="1" applyFont="1" applyFill="1" applyBorder="1" applyAlignment="1" applyProtection="1">
      <protection hidden="1"/>
    </xf>
    <xf numFmtId="166" fontId="64" fillId="22" borderId="0" xfId="0" applyNumberFormat="1" applyFont="1" applyFill="1" applyBorder="1" applyAlignment="1" applyProtection="1">
      <protection hidden="1"/>
    </xf>
    <xf numFmtId="0" fontId="17" fillId="0" borderId="0" xfId="0" applyFont="1" applyProtection="1">
      <protection hidden="1"/>
    </xf>
    <xf numFmtId="166" fontId="29" fillId="22" borderId="0" xfId="0" applyNumberFormat="1" applyFont="1" applyFill="1" applyBorder="1" applyAlignment="1" applyProtection="1">
      <alignment horizontal="center"/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 vertical="center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9" fillId="7" borderId="6" xfId="0" applyFont="1" applyFill="1" applyBorder="1" applyAlignment="1" applyProtection="1">
      <alignment horizontal="center" vertical="center"/>
      <protection hidden="1"/>
    </xf>
    <xf numFmtId="9" fontId="19" fillId="7" borderId="6" xfId="0" applyNumberFormat="1" applyFont="1" applyFill="1" applyBorder="1" applyAlignment="1" applyProtection="1">
      <alignment horizontal="center" vertical="center"/>
      <protection hidden="1"/>
    </xf>
    <xf numFmtId="9" fontId="21" fillId="5" borderId="21" xfId="0" applyNumberFormat="1" applyFont="1" applyFill="1" applyBorder="1" applyAlignment="1" applyProtection="1">
      <alignment horizontal="center" vertical="center"/>
      <protection hidden="1"/>
    </xf>
    <xf numFmtId="1" fontId="21" fillId="23" borderId="20" xfId="0" applyNumberFormat="1" applyFont="1" applyFill="1" applyBorder="1" applyAlignment="1" applyProtection="1">
      <alignment horizontal="center" vertical="center"/>
      <protection hidden="1"/>
    </xf>
    <xf numFmtId="166" fontId="21" fillId="23" borderId="41" xfId="0" applyNumberFormat="1" applyFont="1" applyFill="1" applyBorder="1" applyAlignment="1" applyProtection="1">
      <alignment horizontal="center" vertical="center"/>
      <protection hidden="1"/>
    </xf>
    <xf numFmtId="2" fontId="21" fillId="24" borderId="41" xfId="0" applyNumberFormat="1" applyFont="1" applyFill="1" applyBorder="1" applyAlignment="1" applyProtection="1">
      <alignment horizontal="center"/>
      <protection hidden="1"/>
    </xf>
    <xf numFmtId="10" fontId="21" fillId="23" borderId="51" xfId="0" applyNumberFormat="1" applyFont="1" applyFill="1" applyBorder="1" applyAlignment="1" applyProtection="1">
      <alignment horizontal="center"/>
      <protection hidden="1"/>
    </xf>
    <xf numFmtId="10" fontId="21" fillId="7" borderId="41" xfId="0" applyNumberFormat="1" applyFont="1" applyFill="1" applyBorder="1" applyAlignment="1" applyProtection="1">
      <alignment horizontal="center"/>
      <protection hidden="1"/>
    </xf>
    <xf numFmtId="0" fontId="21" fillId="0" borderId="9" xfId="0" applyFont="1" applyBorder="1" applyAlignment="1" applyProtection="1">
      <alignment horizontal="center" vertical="justify"/>
      <protection hidden="1"/>
    </xf>
    <xf numFmtId="0" fontId="21" fillId="0" borderId="10" xfId="0" applyFont="1" applyBorder="1" applyAlignment="1" applyProtection="1">
      <alignment vertical="justify"/>
      <protection hidden="1"/>
    </xf>
    <xf numFmtId="0" fontId="21" fillId="0" borderId="23" xfId="0" applyFont="1" applyBorder="1" applyAlignment="1" applyProtection="1">
      <alignment vertical="justify"/>
      <protection hidden="1"/>
    </xf>
    <xf numFmtId="0" fontId="21" fillId="7" borderId="20" xfId="0" applyFont="1" applyFill="1" applyBorder="1" applyAlignment="1" applyProtection="1">
      <alignment vertical="justify"/>
      <protection hidden="1"/>
    </xf>
    <xf numFmtId="166" fontId="21" fillId="21" borderId="41" xfId="0" applyNumberFormat="1" applyFont="1" applyFill="1" applyBorder="1" applyAlignment="1" applyProtection="1">
      <alignment horizontal="center" vertical="justify"/>
      <protection hidden="1"/>
    </xf>
    <xf numFmtId="166" fontId="21" fillId="22" borderId="9" xfId="0" applyNumberFormat="1" applyFont="1" applyFill="1" applyBorder="1" applyAlignment="1" applyProtection="1">
      <alignment horizontal="center" vertical="justify"/>
      <protection hidden="1"/>
    </xf>
    <xf numFmtId="166" fontId="21" fillId="22" borderId="10" xfId="0" applyNumberFormat="1" applyFont="1" applyFill="1" applyBorder="1" applyAlignment="1" applyProtection="1">
      <alignment horizontal="center" vertical="justify"/>
      <protection hidden="1"/>
    </xf>
    <xf numFmtId="166" fontId="21" fillId="25" borderId="23" xfId="0" applyNumberFormat="1" applyFont="1" applyFill="1" applyBorder="1" applyAlignment="1" applyProtection="1">
      <alignment horizontal="center" vertical="justify"/>
      <protection hidden="1"/>
    </xf>
    <xf numFmtId="166" fontId="21" fillId="22" borderId="23" xfId="0" applyNumberFormat="1" applyFont="1" applyFill="1" applyBorder="1" applyAlignment="1" applyProtection="1">
      <alignment horizontal="center" vertical="justify"/>
      <protection hidden="1"/>
    </xf>
    <xf numFmtId="0" fontId="21" fillId="21" borderId="32" xfId="0" applyFont="1" applyFill="1" applyBorder="1" applyAlignment="1" applyProtection="1">
      <alignment horizontal="center" vertical="justify"/>
      <protection hidden="1"/>
    </xf>
    <xf numFmtId="0" fontId="21" fillId="25" borderId="52" xfId="0" applyFont="1" applyFill="1" applyBorder="1" applyAlignment="1" applyProtection="1">
      <alignment horizontal="center" vertical="justify"/>
      <protection hidden="1"/>
    </xf>
    <xf numFmtId="0" fontId="21" fillId="22" borderId="52" xfId="0" applyFont="1" applyFill="1" applyBorder="1" applyAlignment="1" applyProtection="1">
      <alignment horizontal="center" vertical="justify"/>
      <protection hidden="1"/>
    </xf>
    <xf numFmtId="166" fontId="21" fillId="21" borderId="51" xfId="0" applyNumberFormat="1" applyFont="1" applyFill="1" applyBorder="1" applyAlignment="1" applyProtection="1">
      <alignment horizontal="center" vertical="justify"/>
      <protection hidden="1"/>
    </xf>
    <xf numFmtId="166" fontId="21" fillId="21" borderId="32" xfId="0" applyNumberFormat="1" applyFont="1" applyFill="1" applyBorder="1" applyAlignment="1" applyProtection="1">
      <alignment horizontal="center" vertical="justify"/>
      <protection hidden="1"/>
    </xf>
    <xf numFmtId="10" fontId="21" fillId="0" borderId="52" xfId="0" applyNumberFormat="1" applyFont="1" applyBorder="1" applyAlignment="1" applyProtection="1">
      <alignment vertical="justify"/>
      <protection hidden="1"/>
    </xf>
    <xf numFmtId="3" fontId="21" fillId="0" borderId="23" xfId="0" applyNumberFormat="1" applyFont="1" applyBorder="1" applyAlignment="1" applyProtection="1">
      <alignment vertical="justify"/>
      <protection hidden="1"/>
    </xf>
    <xf numFmtId="4" fontId="21" fillId="0" borderId="10" xfId="0" applyNumberFormat="1" applyFont="1" applyBorder="1" applyAlignment="1" applyProtection="1">
      <alignment vertical="justify"/>
      <protection hidden="1"/>
    </xf>
    <xf numFmtId="10" fontId="21" fillId="0" borderId="32" xfId="0" applyNumberFormat="1" applyFont="1" applyBorder="1" applyAlignment="1" applyProtection="1">
      <alignment vertical="justify"/>
      <protection hidden="1"/>
    </xf>
    <xf numFmtId="10" fontId="21" fillId="0" borderId="41" xfId="0" applyNumberFormat="1" applyFont="1" applyBorder="1" applyAlignment="1" applyProtection="1">
      <alignment horizontal="center" vertical="justify"/>
      <protection hidden="1"/>
    </xf>
    <xf numFmtId="10" fontId="21" fillId="0" borderId="32" xfId="0" applyNumberFormat="1" applyFont="1" applyBorder="1" applyAlignment="1" applyProtection="1">
      <alignment horizontal="center" vertical="justify"/>
      <protection hidden="1"/>
    </xf>
    <xf numFmtId="10" fontId="21" fillId="0" borderId="42" xfId="0" applyNumberFormat="1" applyFont="1" applyBorder="1" applyAlignment="1" applyProtection="1">
      <alignment horizontal="center" vertical="justify"/>
      <protection hidden="1"/>
    </xf>
    <xf numFmtId="10" fontId="21" fillId="0" borderId="24" xfId="0" applyNumberFormat="1" applyFont="1" applyBorder="1" applyAlignment="1" applyProtection="1">
      <alignment horizontal="center" vertical="justify"/>
      <protection hidden="1"/>
    </xf>
    <xf numFmtId="0" fontId="20" fillId="0" borderId="3" xfId="0" applyFont="1" applyBorder="1" applyAlignment="1" applyProtection="1">
      <alignment horizontal="center"/>
      <protection hidden="1"/>
    </xf>
    <xf numFmtId="0" fontId="20" fillId="0" borderId="4" xfId="0" applyFont="1" applyBorder="1" applyAlignment="1" applyProtection="1">
      <alignment horizontal="center" vertical="center"/>
      <protection hidden="1"/>
    </xf>
    <xf numFmtId="1" fontId="20" fillId="0" borderId="4" xfId="0" applyNumberFormat="1" applyFont="1" applyBorder="1" applyAlignment="1" applyProtection="1">
      <alignment horizontal="center" vertical="center"/>
      <protection hidden="1"/>
    </xf>
    <xf numFmtId="1" fontId="76" fillId="3" borderId="4" xfId="0" applyNumberFormat="1" applyFont="1" applyFill="1" applyBorder="1" applyAlignment="1" applyProtection="1">
      <alignment horizontal="center" vertical="center"/>
      <protection hidden="1"/>
    </xf>
    <xf numFmtId="1" fontId="78" fillId="7" borderId="6" xfId="0" applyNumberFormat="1" applyFont="1" applyFill="1" applyBorder="1" applyAlignment="1" applyProtection="1">
      <alignment horizontal="center" vertical="center"/>
      <protection hidden="1"/>
    </xf>
    <xf numFmtId="0" fontId="21" fillId="5" borderId="39" xfId="0" applyNumberFormat="1" applyFont="1" applyFill="1" applyBorder="1" applyAlignment="1" applyProtection="1">
      <alignment horizontal="center" vertical="center"/>
      <protection hidden="1"/>
    </xf>
    <xf numFmtId="1" fontId="58" fillId="10" borderId="12" xfId="0" applyNumberFormat="1" applyFont="1" applyFill="1" applyBorder="1" applyAlignment="1" applyProtection="1">
      <alignment horizontal="center" vertical="center"/>
      <protection hidden="1"/>
    </xf>
    <xf numFmtId="1" fontId="20" fillId="10" borderId="13" xfId="0" applyNumberFormat="1" applyFont="1" applyFill="1" applyBorder="1" applyAlignment="1" applyProtection="1">
      <alignment horizontal="right" vertical="center"/>
      <protection hidden="1"/>
    </xf>
    <xf numFmtId="166" fontId="76" fillId="10" borderId="13" xfId="0" applyNumberFormat="1" applyFont="1" applyFill="1" applyBorder="1" applyAlignment="1" applyProtection="1">
      <alignment horizontal="right" vertical="center"/>
      <protection hidden="1"/>
    </xf>
    <xf numFmtId="2" fontId="21" fillId="24" borderId="13" xfId="0" applyNumberFormat="1" applyFont="1" applyFill="1" applyBorder="1" applyAlignment="1" applyProtection="1">
      <alignment horizontal="center"/>
      <protection hidden="1"/>
    </xf>
    <xf numFmtId="10" fontId="21" fillId="10" borderId="33" xfId="0" applyNumberFormat="1" applyFont="1" applyFill="1" applyBorder="1" applyAlignment="1" applyProtection="1">
      <alignment horizontal="center"/>
      <protection hidden="1"/>
    </xf>
    <xf numFmtId="10" fontId="21" fillId="7" borderId="65" xfId="0" applyNumberFormat="1" applyFont="1" applyFill="1" applyBorder="1" applyAlignment="1" applyProtection="1">
      <alignment horizontal="center"/>
      <protection hidden="1"/>
    </xf>
    <xf numFmtId="166" fontId="21" fillId="10" borderId="3" xfId="0" applyNumberFormat="1" applyFont="1" applyFill="1" applyBorder="1" applyAlignment="1" applyProtection="1">
      <alignment horizontal="center" vertical="center"/>
      <protection hidden="1"/>
    </xf>
    <xf numFmtId="2" fontId="21" fillId="10" borderId="4" xfId="0" applyNumberFormat="1" applyFont="1" applyFill="1" applyBorder="1" applyAlignment="1" applyProtection="1">
      <alignment horizontal="center"/>
      <protection hidden="1"/>
    </xf>
    <xf numFmtId="10" fontId="21" fillId="10" borderId="39" xfId="0" applyNumberFormat="1" applyFont="1" applyFill="1" applyBorder="1" applyAlignment="1" applyProtection="1">
      <alignment horizontal="center"/>
      <protection hidden="1"/>
    </xf>
    <xf numFmtId="10" fontId="21" fillId="7" borderId="12" xfId="0" applyNumberFormat="1" applyFont="1" applyFill="1" applyBorder="1" applyAlignment="1" applyProtection="1">
      <alignment horizontal="center"/>
      <protection hidden="1"/>
    </xf>
    <xf numFmtId="166" fontId="21" fillId="21" borderId="13" xfId="0" applyNumberFormat="1" applyFont="1" applyFill="1" applyBorder="1" applyAlignment="1" applyProtection="1">
      <alignment horizontal="center"/>
      <protection hidden="1"/>
    </xf>
    <xf numFmtId="166" fontId="21" fillId="22" borderId="13" xfId="0" applyNumberFormat="1" applyFont="1" applyFill="1" applyBorder="1" applyAlignment="1" applyProtection="1">
      <alignment horizontal="center"/>
      <protection hidden="1"/>
    </xf>
    <xf numFmtId="166" fontId="21" fillId="25" borderId="13" xfId="0" applyNumberFormat="1" applyFont="1" applyFill="1" applyBorder="1" applyAlignment="1" applyProtection="1">
      <alignment horizontal="center"/>
      <protection hidden="1"/>
    </xf>
    <xf numFmtId="10" fontId="21" fillId="21" borderId="13" xfId="0" applyNumberFormat="1" applyFont="1" applyFill="1" applyBorder="1" applyAlignment="1" applyProtection="1">
      <alignment horizontal="center"/>
      <protection hidden="1"/>
    </xf>
    <xf numFmtId="10" fontId="21" fillId="25" borderId="13" xfId="0" applyNumberFormat="1" applyFont="1" applyFill="1" applyBorder="1" applyAlignment="1" applyProtection="1">
      <alignment horizontal="center"/>
      <protection hidden="1"/>
    </xf>
    <xf numFmtId="10" fontId="21" fillId="22" borderId="13" xfId="0" applyNumberFormat="1" applyFont="1" applyFill="1" applyBorder="1" applyAlignment="1" applyProtection="1">
      <alignment horizontal="center"/>
      <protection hidden="1"/>
    </xf>
    <xf numFmtId="10" fontId="21" fillId="21" borderId="33" xfId="0" applyNumberFormat="1" applyFont="1" applyFill="1" applyBorder="1" applyAlignment="1" applyProtection="1">
      <alignment horizontal="center"/>
      <protection hidden="1"/>
    </xf>
    <xf numFmtId="10" fontId="0" fillId="6" borderId="29" xfId="0" applyNumberFormat="1" applyFill="1" applyBorder="1" applyAlignment="1" applyProtection="1">
      <alignment horizontal="center"/>
      <protection hidden="1"/>
    </xf>
    <xf numFmtId="3" fontId="16" fillId="6" borderId="13" xfId="0" applyNumberFormat="1" applyFont="1" applyFill="1" applyBorder="1" applyAlignment="1" applyProtection="1">
      <alignment horizontal="center"/>
      <protection hidden="1"/>
    </xf>
    <xf numFmtId="4" fontId="16" fillId="6" borderId="13" xfId="0" applyNumberFormat="1" applyFont="1" applyFill="1" applyBorder="1" applyAlignment="1" applyProtection="1">
      <alignment horizontal="center"/>
      <protection hidden="1"/>
    </xf>
    <xf numFmtId="10" fontId="16" fillId="6" borderId="13" xfId="0" applyNumberFormat="1" applyFont="1" applyFill="1" applyBorder="1" applyAlignment="1" applyProtection="1">
      <alignment horizontal="center"/>
      <protection hidden="1"/>
    </xf>
    <xf numFmtId="0" fontId="20" fillId="0" borderId="5" xfId="0" applyFont="1" applyBorder="1" applyAlignment="1" applyProtection="1">
      <alignment horizontal="center"/>
      <protection hidden="1"/>
    </xf>
    <xf numFmtId="0" fontId="20" fillId="0" borderId="6" xfId="0" applyFont="1" applyBorder="1" applyAlignment="1" applyProtection="1">
      <alignment horizontal="center" vertical="center"/>
      <protection hidden="1"/>
    </xf>
    <xf numFmtId="1" fontId="20" fillId="0" borderId="6" xfId="0" applyNumberFormat="1" applyFont="1" applyBorder="1" applyAlignment="1" applyProtection="1">
      <alignment horizontal="center" vertical="center"/>
      <protection hidden="1"/>
    </xf>
    <xf numFmtId="1" fontId="76" fillId="3" borderId="6" xfId="0" applyNumberFormat="1" applyFont="1" applyFill="1" applyBorder="1" applyAlignment="1" applyProtection="1">
      <alignment horizontal="center" vertical="center"/>
      <protection hidden="1"/>
    </xf>
    <xf numFmtId="0" fontId="21" fillId="5" borderId="37" xfId="0" applyNumberFormat="1" applyFont="1" applyFill="1" applyBorder="1" applyAlignment="1" applyProtection="1">
      <alignment horizontal="center" vertical="center"/>
      <protection hidden="1"/>
    </xf>
    <xf numFmtId="1" fontId="58" fillId="10" borderId="5" xfId="0" applyNumberFormat="1" applyFont="1" applyFill="1" applyBorder="1" applyAlignment="1" applyProtection="1">
      <alignment horizontal="center" vertical="center"/>
      <protection hidden="1"/>
    </xf>
    <xf numFmtId="1" fontId="20" fillId="10" borderId="6" xfId="0" applyNumberFormat="1" applyFont="1" applyFill="1" applyBorder="1" applyAlignment="1" applyProtection="1">
      <alignment horizontal="right" vertical="center"/>
      <protection hidden="1"/>
    </xf>
    <xf numFmtId="166" fontId="20" fillId="10" borderId="6" xfId="0" applyNumberFormat="1" applyFont="1" applyFill="1" applyBorder="1" applyAlignment="1" applyProtection="1">
      <alignment horizontal="right" vertical="center"/>
      <protection hidden="1"/>
    </xf>
    <xf numFmtId="166" fontId="20" fillId="10" borderId="5" xfId="0" applyNumberFormat="1" applyFont="1" applyFill="1" applyBorder="1" applyAlignment="1" applyProtection="1">
      <alignment horizontal="center" vertical="center"/>
      <protection hidden="1"/>
    </xf>
    <xf numFmtId="2" fontId="21" fillId="10" borderId="13" xfId="0" applyNumberFormat="1" applyFont="1" applyFill="1" applyBorder="1" applyAlignment="1" applyProtection="1">
      <alignment horizontal="center"/>
      <protection hidden="1"/>
    </xf>
    <xf numFmtId="10" fontId="21" fillId="10" borderId="50" xfId="0" applyNumberFormat="1" applyFont="1" applyFill="1" applyBorder="1" applyAlignment="1" applyProtection="1">
      <alignment horizontal="center"/>
      <protection hidden="1"/>
    </xf>
    <xf numFmtId="10" fontId="21" fillId="7" borderId="5" xfId="0" applyNumberFormat="1" applyFont="1" applyFill="1" applyBorder="1" applyAlignment="1" applyProtection="1">
      <alignment horizontal="center"/>
      <protection hidden="1"/>
    </xf>
    <xf numFmtId="166" fontId="21" fillId="21" borderId="6" xfId="0" applyNumberFormat="1" applyFont="1" applyFill="1" applyBorder="1" applyAlignment="1" applyProtection="1">
      <alignment horizontal="center"/>
      <protection hidden="1"/>
    </xf>
    <xf numFmtId="166" fontId="21" fillId="22" borderId="6" xfId="0" applyNumberFormat="1" applyFont="1" applyFill="1" applyBorder="1" applyAlignment="1" applyProtection="1">
      <alignment horizontal="center"/>
      <protection hidden="1"/>
    </xf>
    <xf numFmtId="166" fontId="21" fillId="25" borderId="6" xfId="0" applyNumberFormat="1" applyFont="1" applyFill="1" applyBorder="1" applyAlignment="1" applyProtection="1">
      <alignment horizontal="center"/>
      <protection hidden="1"/>
    </xf>
    <xf numFmtId="10" fontId="21" fillId="21" borderId="6" xfId="0" applyNumberFormat="1" applyFont="1" applyFill="1" applyBorder="1" applyAlignment="1" applyProtection="1">
      <alignment horizontal="center"/>
      <protection hidden="1"/>
    </xf>
    <xf numFmtId="10" fontId="76" fillId="25" borderId="13" xfId="0" applyNumberFormat="1" applyFont="1" applyFill="1" applyBorder="1" applyAlignment="1" applyProtection="1">
      <alignment horizontal="center"/>
      <protection hidden="1"/>
    </xf>
    <xf numFmtId="10" fontId="21" fillId="22" borderId="6" xfId="0" applyNumberFormat="1" applyFont="1" applyFill="1" applyBorder="1" applyAlignment="1" applyProtection="1">
      <alignment horizontal="center"/>
      <protection hidden="1"/>
    </xf>
    <xf numFmtId="10" fontId="21" fillId="21" borderId="34" xfId="0" applyNumberFormat="1" applyFont="1" applyFill="1" applyBorder="1" applyAlignment="1" applyProtection="1">
      <alignment horizontal="center"/>
      <protection hidden="1"/>
    </xf>
    <xf numFmtId="10" fontId="0" fillId="0" borderId="26" xfId="0" applyNumberFormat="1" applyBorder="1" applyAlignment="1" applyProtection="1">
      <alignment horizontal="center"/>
      <protection hidden="1"/>
    </xf>
    <xf numFmtId="3" fontId="16" fillId="0" borderId="13" xfId="0" applyNumberFormat="1" applyFont="1" applyFill="1" applyBorder="1" applyAlignment="1" applyProtection="1">
      <alignment horizontal="center"/>
      <protection hidden="1"/>
    </xf>
    <xf numFmtId="4" fontId="16" fillId="0" borderId="6" xfId="0" applyNumberFormat="1" applyFont="1" applyBorder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6" fontId="76" fillId="10" borderId="6" xfId="0" applyNumberFormat="1" applyFont="1" applyFill="1" applyBorder="1" applyAlignment="1" applyProtection="1">
      <alignment horizontal="right" vertical="center"/>
      <protection hidden="1"/>
    </xf>
    <xf numFmtId="166" fontId="21" fillId="10" borderId="5" xfId="0" applyNumberFormat="1" applyFont="1" applyFill="1" applyBorder="1" applyAlignment="1" applyProtection="1">
      <alignment horizontal="center" vertical="center"/>
      <protection hidden="1"/>
    </xf>
    <xf numFmtId="0" fontId="20" fillId="0" borderId="7" xfId="0" applyFont="1" applyBorder="1" applyAlignment="1" applyProtection="1">
      <alignment horizontal="center"/>
      <protection hidden="1"/>
    </xf>
    <xf numFmtId="0" fontId="20" fillId="0" borderId="8" xfId="0" applyFont="1" applyBorder="1" applyAlignment="1" applyProtection="1">
      <alignment horizontal="center" vertical="center"/>
      <protection hidden="1"/>
    </xf>
    <xf numFmtId="1" fontId="20" fillId="0" borderId="8" xfId="0" applyNumberFormat="1" applyFont="1" applyBorder="1" applyAlignment="1" applyProtection="1">
      <alignment horizontal="center" vertical="center"/>
      <protection hidden="1"/>
    </xf>
    <xf numFmtId="1" fontId="76" fillId="3" borderId="8" xfId="0" applyNumberFormat="1" applyFont="1" applyFill="1" applyBorder="1" applyAlignment="1" applyProtection="1">
      <alignment horizontal="center" vertical="center"/>
      <protection hidden="1"/>
    </xf>
    <xf numFmtId="0" fontId="21" fillId="5" borderId="72" xfId="0" applyNumberFormat="1" applyFont="1" applyFill="1" applyBorder="1" applyAlignment="1" applyProtection="1">
      <alignment horizontal="center" vertical="center"/>
      <protection hidden="1"/>
    </xf>
    <xf numFmtId="1" fontId="58" fillId="10" borderId="7" xfId="0" applyNumberFormat="1" applyFont="1" applyFill="1" applyBorder="1" applyAlignment="1" applyProtection="1">
      <alignment horizontal="center" vertical="center"/>
      <protection hidden="1"/>
    </xf>
    <xf numFmtId="1" fontId="20" fillId="10" borderId="8" xfId="0" applyNumberFormat="1" applyFont="1" applyFill="1" applyBorder="1" applyAlignment="1" applyProtection="1">
      <alignment horizontal="right" vertical="center"/>
      <protection hidden="1"/>
    </xf>
    <xf numFmtId="166" fontId="20" fillId="10" borderId="8" xfId="0" applyNumberFormat="1" applyFont="1" applyFill="1" applyBorder="1" applyAlignment="1" applyProtection="1">
      <alignment horizontal="right" vertical="center"/>
      <protection hidden="1"/>
    </xf>
    <xf numFmtId="2" fontId="21" fillId="24" borderId="14" xfId="0" applyNumberFormat="1" applyFont="1" applyFill="1" applyBorder="1" applyAlignment="1" applyProtection="1">
      <alignment horizontal="center"/>
      <protection hidden="1"/>
    </xf>
    <xf numFmtId="10" fontId="21" fillId="10" borderId="48" xfId="0" applyNumberFormat="1" applyFont="1" applyFill="1" applyBorder="1" applyAlignment="1" applyProtection="1">
      <alignment horizontal="center"/>
      <protection hidden="1"/>
    </xf>
    <xf numFmtId="166" fontId="20" fillId="10" borderId="7" xfId="0" applyNumberFormat="1" applyFont="1" applyFill="1" applyBorder="1" applyAlignment="1" applyProtection="1">
      <alignment horizontal="center" vertical="center"/>
      <protection hidden="1"/>
    </xf>
    <xf numFmtId="2" fontId="21" fillId="10" borderId="14" xfId="0" applyNumberFormat="1" applyFont="1" applyFill="1" applyBorder="1" applyAlignment="1" applyProtection="1">
      <alignment horizontal="center"/>
      <protection hidden="1"/>
    </xf>
    <xf numFmtId="10" fontId="21" fillId="10" borderId="72" xfId="0" applyNumberFormat="1" applyFont="1" applyFill="1" applyBorder="1" applyAlignment="1" applyProtection="1">
      <alignment horizontal="center"/>
      <protection hidden="1"/>
    </xf>
    <xf numFmtId="10" fontId="21" fillId="7" borderId="7" xfId="0" applyNumberFormat="1" applyFont="1" applyFill="1" applyBorder="1" applyAlignment="1" applyProtection="1">
      <alignment horizontal="center"/>
      <protection hidden="1"/>
    </xf>
    <xf numFmtId="166" fontId="21" fillId="21" borderId="8" xfId="0" applyNumberFormat="1" applyFont="1" applyFill="1" applyBorder="1" applyAlignment="1" applyProtection="1">
      <alignment horizontal="center"/>
      <protection hidden="1"/>
    </xf>
    <xf numFmtId="166" fontId="21" fillId="22" borderId="8" xfId="0" applyNumberFormat="1" applyFont="1" applyFill="1" applyBorder="1" applyAlignment="1" applyProtection="1">
      <alignment horizontal="center"/>
      <protection hidden="1"/>
    </xf>
    <xf numFmtId="166" fontId="21" fillId="25" borderId="8" xfId="0" applyNumberFormat="1" applyFont="1" applyFill="1" applyBorder="1" applyAlignment="1" applyProtection="1">
      <alignment horizontal="center"/>
      <protection hidden="1"/>
    </xf>
    <xf numFmtId="166" fontId="21" fillId="22" borderId="14" xfId="0" applyNumberFormat="1" applyFont="1" applyFill="1" applyBorder="1" applyAlignment="1" applyProtection="1">
      <alignment horizontal="center"/>
      <protection hidden="1"/>
    </xf>
    <xf numFmtId="10" fontId="21" fillId="21" borderId="8" xfId="0" applyNumberFormat="1" applyFont="1" applyFill="1" applyBorder="1" applyAlignment="1" applyProtection="1">
      <alignment horizontal="center"/>
      <protection hidden="1"/>
    </xf>
    <xf numFmtId="10" fontId="76" fillId="25" borderId="14" xfId="0" applyNumberFormat="1" applyFont="1" applyFill="1" applyBorder="1" applyAlignment="1" applyProtection="1">
      <alignment horizontal="center"/>
      <protection hidden="1"/>
    </xf>
    <xf numFmtId="10" fontId="21" fillId="22" borderId="8" xfId="0" applyNumberFormat="1" applyFont="1" applyFill="1" applyBorder="1" applyAlignment="1" applyProtection="1">
      <alignment horizontal="center"/>
      <protection hidden="1"/>
    </xf>
    <xf numFmtId="10" fontId="21" fillId="21" borderId="35" xfId="0" applyNumberFormat="1" applyFont="1" applyFill="1" applyBorder="1" applyAlignment="1" applyProtection="1">
      <alignment horizontal="center"/>
      <protection hidden="1"/>
    </xf>
    <xf numFmtId="10" fontId="0" fillId="5" borderId="26" xfId="0" applyNumberFormat="1" applyFill="1" applyBorder="1" applyAlignment="1" applyProtection="1">
      <alignment horizontal="center"/>
      <protection hidden="1"/>
    </xf>
    <xf numFmtId="4" fontId="16" fillId="5" borderId="6" xfId="0" applyNumberFormat="1" applyFont="1" applyFill="1" applyBorder="1" applyAlignment="1" applyProtection="1">
      <alignment horizontal="center"/>
      <protection hidden="1"/>
    </xf>
    <xf numFmtId="10" fontId="21" fillId="24" borderId="0" xfId="0" applyNumberFormat="1" applyFont="1" applyFill="1" applyAlignment="1" applyProtection="1">
      <alignment horizontal="center"/>
      <protection hidden="1"/>
    </xf>
    <xf numFmtId="10" fontId="29" fillId="0" borderId="0" xfId="0" applyNumberFormat="1" applyFont="1" applyProtection="1">
      <protection hidden="1"/>
    </xf>
    <xf numFmtId="10" fontId="29" fillId="0" borderId="44" xfId="0" applyNumberFormat="1" applyFont="1" applyBorder="1" applyProtection="1">
      <protection hidden="1"/>
    </xf>
    <xf numFmtId="166" fontId="29" fillId="0" borderId="0" xfId="0" applyNumberFormat="1" applyFont="1" applyBorder="1" applyProtection="1">
      <protection hidden="1"/>
    </xf>
    <xf numFmtId="10" fontId="29" fillId="0" borderId="0" xfId="0" applyNumberFormat="1" applyFont="1" applyBorder="1" applyProtection="1">
      <protection hidden="1"/>
    </xf>
    <xf numFmtId="10" fontId="29" fillId="26" borderId="0" xfId="0" applyNumberFormat="1" applyFont="1" applyFill="1" applyAlignment="1" applyProtection="1">
      <alignment horizontal="center"/>
      <protection hidden="1"/>
    </xf>
    <xf numFmtId="3" fontId="29" fillId="0" borderId="0" xfId="0" applyNumberFormat="1" applyFont="1" applyAlignment="1" applyProtection="1">
      <alignment horizontal="center"/>
      <protection hidden="1"/>
    </xf>
    <xf numFmtId="4" fontId="29" fillId="0" borderId="0" xfId="0" applyNumberFormat="1" applyFont="1" applyAlignment="1" applyProtection="1">
      <alignment horizontal="center"/>
      <protection hidden="1"/>
    </xf>
    <xf numFmtId="10" fontId="29" fillId="0" borderId="0" xfId="0" applyNumberFormat="1" applyFont="1" applyAlignment="1" applyProtection="1">
      <alignment horizontal="center"/>
      <protection hidden="1"/>
    </xf>
    <xf numFmtId="10" fontId="29" fillId="27" borderId="0" xfId="0" applyNumberFormat="1" applyFont="1" applyFill="1" applyAlignment="1" applyProtection="1">
      <alignment horizontal="center"/>
      <protection hidden="1"/>
    </xf>
    <xf numFmtId="10" fontId="29" fillId="21" borderId="0" xfId="0" applyNumberFormat="1" applyFont="1" applyFill="1" applyProtection="1">
      <protection hidden="1"/>
    </xf>
    <xf numFmtId="0" fontId="29" fillId="22" borderId="40" xfId="0" applyFont="1" applyFill="1" applyBorder="1" applyAlignment="1" applyProtection="1">
      <protection hidden="1"/>
    </xf>
    <xf numFmtId="10" fontId="29" fillId="22" borderId="40" xfId="0" applyNumberFormat="1" applyFont="1" applyFill="1" applyBorder="1" applyAlignment="1" applyProtection="1">
      <protection hidden="1"/>
    </xf>
    <xf numFmtId="3" fontId="16" fillId="0" borderId="0" xfId="0" applyNumberFormat="1" applyFont="1" applyAlignment="1" applyProtection="1">
      <alignment horizontal="center"/>
      <protection hidden="1"/>
    </xf>
    <xf numFmtId="4" fontId="16" fillId="0" borderId="0" xfId="0" applyNumberFormat="1" applyFont="1" applyAlignment="1" applyProtection="1">
      <alignment horizontal="center"/>
      <protection hidden="1"/>
    </xf>
    <xf numFmtId="0" fontId="21" fillId="5" borderId="21" xfId="0" applyNumberFormat="1" applyFont="1" applyFill="1" applyBorder="1" applyAlignment="1" applyProtection="1">
      <alignment horizontal="center" vertical="center"/>
      <protection hidden="1"/>
    </xf>
    <xf numFmtId="1" fontId="21" fillId="23" borderId="1" xfId="0" applyNumberFormat="1" applyFont="1" applyFill="1" applyBorder="1" applyAlignment="1" applyProtection="1">
      <alignment horizontal="center" vertical="center"/>
      <protection hidden="1"/>
    </xf>
    <xf numFmtId="1" fontId="21" fillId="23" borderId="27" xfId="0" applyNumberFormat="1" applyFont="1" applyFill="1" applyBorder="1" applyAlignment="1" applyProtection="1">
      <alignment horizontal="center" vertical="center"/>
      <protection hidden="1"/>
    </xf>
    <xf numFmtId="166" fontId="21" fillId="23" borderId="42" xfId="0" applyNumberFormat="1" applyFont="1" applyFill="1" applyBorder="1" applyAlignment="1" applyProtection="1">
      <alignment horizontal="center" vertical="center"/>
      <protection hidden="1"/>
    </xf>
    <xf numFmtId="10" fontId="21" fillId="23" borderId="54" xfId="0" applyNumberFormat="1" applyFont="1" applyFill="1" applyBorder="1" applyAlignment="1" applyProtection="1">
      <alignment horizontal="center"/>
      <protection hidden="1"/>
    </xf>
    <xf numFmtId="10" fontId="21" fillId="0" borderId="52" xfId="0" applyNumberFormat="1" applyFont="1" applyBorder="1" applyAlignment="1" applyProtection="1">
      <alignment horizontal="center" vertical="justify"/>
      <protection hidden="1"/>
    </xf>
    <xf numFmtId="3" fontId="21" fillId="0" borderId="23" xfId="0" applyNumberFormat="1" applyFont="1" applyBorder="1" applyAlignment="1" applyProtection="1">
      <alignment horizontal="center" vertical="justify"/>
      <protection hidden="1"/>
    </xf>
    <xf numFmtId="4" fontId="21" fillId="0" borderId="10" xfId="0" applyNumberFormat="1" applyFont="1" applyBorder="1" applyAlignment="1" applyProtection="1">
      <alignment horizontal="center" vertical="justify"/>
      <protection hidden="1"/>
    </xf>
    <xf numFmtId="1" fontId="58" fillId="10" borderId="5" xfId="0" applyNumberFormat="1" applyFont="1" applyFill="1" applyBorder="1" applyAlignment="1" applyProtection="1">
      <alignment horizontal="center" vertical="top"/>
      <protection hidden="1"/>
    </xf>
    <xf numFmtId="1" fontId="33" fillId="10" borderId="6" xfId="0" applyNumberFormat="1" applyFont="1" applyFill="1" applyBorder="1" applyAlignment="1" applyProtection="1">
      <alignment horizontal="center" vertical="top"/>
      <protection hidden="1"/>
    </xf>
    <xf numFmtId="166" fontId="33" fillId="10" borderId="6" xfId="0" applyNumberFormat="1" applyFont="1" applyFill="1" applyBorder="1" applyAlignment="1" applyProtection="1">
      <alignment horizontal="center" vertical="top"/>
      <protection hidden="1"/>
    </xf>
    <xf numFmtId="10" fontId="21" fillId="10" borderId="34" xfId="0" applyNumberFormat="1" applyFont="1" applyFill="1" applyBorder="1" applyAlignment="1" applyProtection="1">
      <alignment horizontal="center"/>
      <protection hidden="1"/>
    </xf>
    <xf numFmtId="10" fontId="21" fillId="7" borderId="50" xfId="0" applyNumberFormat="1" applyFont="1" applyFill="1" applyBorder="1" applyAlignment="1" applyProtection="1">
      <alignment horizontal="center"/>
      <protection hidden="1"/>
    </xf>
    <xf numFmtId="166" fontId="21" fillId="10" borderId="13" xfId="0" applyNumberFormat="1" applyFont="1" applyFill="1" applyBorder="1" applyAlignment="1" applyProtection="1">
      <alignment horizontal="center" vertical="center"/>
      <protection hidden="1"/>
    </xf>
    <xf numFmtId="10" fontId="16" fillId="6" borderId="29" xfId="0" applyNumberFormat="1" applyFont="1" applyFill="1" applyBorder="1" applyAlignment="1" applyProtection="1">
      <alignment horizontal="center"/>
      <protection hidden="1"/>
    </xf>
    <xf numFmtId="1" fontId="20" fillId="3" borderId="6" xfId="0" applyNumberFormat="1" applyFont="1" applyFill="1" applyBorder="1" applyAlignment="1" applyProtection="1">
      <alignment horizontal="center" vertical="center"/>
      <protection hidden="1"/>
    </xf>
    <xf numFmtId="10" fontId="20" fillId="10" borderId="34" xfId="0" applyNumberFormat="1" applyFont="1" applyFill="1" applyBorder="1" applyAlignment="1" applyProtection="1">
      <alignment horizontal="center"/>
      <protection hidden="1"/>
    </xf>
    <xf numFmtId="10" fontId="20" fillId="7" borderId="37" xfId="0" applyNumberFormat="1" applyFont="1" applyFill="1" applyBorder="1" applyAlignment="1" applyProtection="1">
      <alignment horizontal="center"/>
      <protection hidden="1"/>
    </xf>
    <xf numFmtId="166" fontId="20" fillId="10" borderId="6" xfId="0" applyNumberFormat="1" applyFont="1" applyFill="1" applyBorder="1" applyAlignment="1" applyProtection="1">
      <alignment horizontal="center" vertical="center"/>
      <protection hidden="1"/>
    </xf>
    <xf numFmtId="10" fontId="16" fillId="0" borderId="29" xfId="0" applyNumberFormat="1" applyFont="1" applyBorder="1" applyAlignment="1" applyProtection="1">
      <alignment horizontal="center"/>
      <protection hidden="1"/>
    </xf>
    <xf numFmtId="3" fontId="16" fillId="0" borderId="6" xfId="0" applyNumberFormat="1" applyFont="1" applyBorder="1" applyAlignment="1" applyProtection="1">
      <alignment horizontal="center"/>
      <protection hidden="1"/>
    </xf>
    <xf numFmtId="10" fontId="16" fillId="0" borderId="13" xfId="0" applyNumberFormat="1" applyFont="1" applyBorder="1" applyAlignment="1" applyProtection="1">
      <alignment horizontal="center"/>
      <protection hidden="1"/>
    </xf>
    <xf numFmtId="166" fontId="76" fillId="10" borderId="6" xfId="0" applyNumberFormat="1" applyFont="1" applyFill="1" applyBorder="1" applyAlignment="1" applyProtection="1">
      <alignment horizontal="center" vertical="top"/>
      <protection hidden="1"/>
    </xf>
    <xf numFmtId="166" fontId="21" fillId="10" borderId="6" xfId="0" applyNumberFormat="1" applyFont="1" applyFill="1" applyBorder="1" applyAlignment="1" applyProtection="1">
      <alignment horizontal="center" vertical="center"/>
      <protection hidden="1"/>
    </xf>
    <xf numFmtId="10" fontId="16" fillId="5" borderId="29" xfId="0" applyNumberFormat="1" applyFont="1" applyFill="1" applyBorder="1" applyAlignment="1" applyProtection="1">
      <alignment horizontal="center"/>
      <protection hidden="1"/>
    </xf>
    <xf numFmtId="3" fontId="16" fillId="5" borderId="6" xfId="0" applyNumberFormat="1" applyFont="1" applyFill="1" applyBorder="1" applyAlignment="1" applyProtection="1">
      <alignment horizontal="center"/>
      <protection hidden="1"/>
    </xf>
    <xf numFmtId="1" fontId="20" fillId="3" borderId="8" xfId="0" applyNumberFormat="1" applyFont="1" applyFill="1" applyBorder="1" applyAlignment="1" applyProtection="1">
      <alignment horizontal="center" vertical="center"/>
      <protection hidden="1"/>
    </xf>
    <xf numFmtId="1" fontId="58" fillId="10" borderId="7" xfId="0" applyNumberFormat="1" applyFont="1" applyFill="1" applyBorder="1" applyAlignment="1" applyProtection="1">
      <alignment horizontal="center" vertical="top"/>
      <protection hidden="1"/>
    </xf>
    <xf numFmtId="1" fontId="33" fillId="10" borderId="8" xfId="0" applyNumberFormat="1" applyFont="1" applyFill="1" applyBorder="1" applyAlignment="1" applyProtection="1">
      <alignment horizontal="center" vertical="top"/>
      <protection hidden="1"/>
    </xf>
    <xf numFmtId="166" fontId="76" fillId="10" borderId="8" xfId="0" applyNumberFormat="1" applyFont="1" applyFill="1" applyBorder="1" applyAlignment="1" applyProtection="1">
      <alignment horizontal="center" vertical="top"/>
      <protection hidden="1"/>
    </xf>
    <xf numFmtId="10" fontId="20" fillId="7" borderId="73" xfId="0" applyNumberFormat="1" applyFont="1" applyFill="1" applyBorder="1" applyAlignment="1" applyProtection="1">
      <alignment horizontal="center"/>
      <protection hidden="1"/>
    </xf>
    <xf numFmtId="166" fontId="20" fillId="10" borderId="8" xfId="0" applyNumberFormat="1" applyFont="1" applyFill="1" applyBorder="1" applyAlignment="1" applyProtection="1">
      <alignment horizontal="center" vertical="center"/>
      <protection hidden="1"/>
    </xf>
    <xf numFmtId="10" fontId="21" fillId="25" borderId="14" xfId="0" applyNumberFormat="1" applyFont="1" applyFill="1" applyBorder="1" applyAlignment="1" applyProtection="1">
      <alignment horizontal="center"/>
      <protection hidden="1"/>
    </xf>
    <xf numFmtId="9" fontId="29" fillId="22" borderId="40" xfId="0" applyNumberFormat="1" applyFont="1" applyFill="1" applyBorder="1" applyAlignment="1" applyProtection="1">
      <protection hidden="1"/>
    </xf>
    <xf numFmtId="0" fontId="19" fillId="7" borderId="21" xfId="0" applyFont="1" applyFill="1" applyBorder="1" applyAlignment="1" applyProtection="1">
      <alignment horizontal="center" vertical="center"/>
      <protection hidden="1"/>
    </xf>
    <xf numFmtId="9" fontId="19" fillId="7" borderId="21" xfId="0" applyNumberFormat="1" applyFont="1" applyFill="1" applyBorder="1" applyAlignment="1" applyProtection="1">
      <alignment horizontal="center" vertical="center"/>
      <protection hidden="1"/>
    </xf>
    <xf numFmtId="2" fontId="21" fillId="24" borderId="42" xfId="0" applyNumberFormat="1" applyFont="1" applyFill="1" applyBorder="1" applyAlignment="1" applyProtection="1">
      <alignment horizontal="center"/>
      <protection hidden="1"/>
    </xf>
    <xf numFmtId="0" fontId="21" fillId="0" borderId="32" xfId="0" applyFont="1" applyBorder="1" applyAlignment="1" applyProtection="1">
      <alignment vertical="justify"/>
      <protection hidden="1"/>
    </xf>
    <xf numFmtId="0" fontId="20" fillId="0" borderId="3" xfId="0" applyFont="1" applyBorder="1" applyAlignment="1" applyProtection="1">
      <alignment horizontal="center" vertical="center"/>
      <protection hidden="1"/>
    </xf>
    <xf numFmtId="1" fontId="78" fillId="7" borderId="39" xfId="0" applyNumberFormat="1" applyFont="1" applyFill="1" applyBorder="1" applyAlignment="1" applyProtection="1">
      <alignment horizontal="center" vertical="center"/>
      <protection hidden="1"/>
    </xf>
    <xf numFmtId="2" fontId="21" fillId="24" borderId="6" xfId="0" applyNumberFormat="1" applyFont="1" applyFill="1" applyBorder="1" applyAlignment="1" applyProtection="1">
      <alignment horizontal="center"/>
      <protection hidden="1"/>
    </xf>
    <xf numFmtId="3" fontId="16" fillId="5" borderId="13" xfId="0" applyNumberFormat="1" applyFont="1" applyFill="1" applyBorder="1" applyAlignment="1" applyProtection="1">
      <alignment horizontal="center"/>
      <protection hidden="1"/>
    </xf>
    <xf numFmtId="4" fontId="16" fillId="5" borderId="13" xfId="0" applyNumberFormat="1" applyFont="1" applyFill="1" applyBorder="1" applyAlignment="1" applyProtection="1">
      <alignment horizontal="center"/>
      <protection hidden="1"/>
    </xf>
    <xf numFmtId="0" fontId="20" fillId="0" borderId="5" xfId="0" applyFont="1" applyBorder="1" applyAlignment="1" applyProtection="1">
      <alignment horizontal="center" vertical="center"/>
      <protection hidden="1"/>
    </xf>
    <xf numFmtId="1" fontId="19" fillId="7" borderId="37" xfId="0" applyNumberFormat="1" applyFont="1" applyFill="1" applyBorder="1" applyAlignment="1" applyProtection="1">
      <alignment horizontal="center" vertical="center"/>
      <protection hidden="1"/>
    </xf>
    <xf numFmtId="10" fontId="21" fillId="7" borderId="37" xfId="0" applyNumberFormat="1" applyFont="1" applyFill="1" applyBorder="1" applyAlignment="1" applyProtection="1">
      <alignment horizontal="center"/>
      <protection hidden="1"/>
    </xf>
    <xf numFmtId="0" fontId="20" fillId="0" borderId="7" xfId="0" applyFont="1" applyBorder="1" applyAlignment="1" applyProtection="1">
      <alignment horizontal="center" vertical="center"/>
      <protection hidden="1"/>
    </xf>
    <xf numFmtId="1" fontId="19" fillId="7" borderId="38" xfId="0" applyNumberFormat="1" applyFont="1" applyFill="1" applyBorder="1" applyAlignment="1" applyProtection="1">
      <alignment horizontal="center" vertical="center"/>
      <protection hidden="1"/>
    </xf>
    <xf numFmtId="0" fontId="21" fillId="5" borderId="38" xfId="0" applyNumberFormat="1" applyFont="1" applyFill="1" applyBorder="1" applyAlignment="1" applyProtection="1">
      <alignment horizontal="center" vertical="center"/>
      <protection hidden="1"/>
    </xf>
    <xf numFmtId="2" fontId="21" fillId="24" borderId="8" xfId="0" applyNumberFormat="1" applyFont="1" applyFill="1" applyBorder="1" applyAlignment="1" applyProtection="1">
      <alignment horizontal="center"/>
      <protection hidden="1"/>
    </xf>
    <xf numFmtId="10" fontId="20" fillId="10" borderId="35" xfId="0" applyNumberFormat="1" applyFont="1" applyFill="1" applyBorder="1" applyAlignment="1" applyProtection="1">
      <alignment horizontal="center"/>
      <protection hidden="1"/>
    </xf>
    <xf numFmtId="10" fontId="29" fillId="4" borderId="0" xfId="0" applyNumberFormat="1" applyFont="1" applyFill="1" applyProtection="1">
      <protection hidden="1"/>
    </xf>
    <xf numFmtId="10" fontId="29" fillId="4" borderId="41" xfId="0" applyNumberFormat="1" applyFont="1" applyFill="1" applyBorder="1" applyProtection="1">
      <protection hidden="1"/>
    </xf>
    <xf numFmtId="166" fontId="29" fillId="4" borderId="0" xfId="0" applyNumberFormat="1" applyFont="1" applyFill="1" applyBorder="1" applyProtection="1">
      <protection hidden="1"/>
    </xf>
    <xf numFmtId="10" fontId="29" fillId="4" borderId="0" xfId="0" applyNumberFormat="1" applyFont="1" applyFill="1" applyBorder="1" applyProtection="1">
      <protection hidden="1"/>
    </xf>
    <xf numFmtId="0" fontId="16" fillId="22" borderId="0" xfId="0" applyFont="1" applyFill="1" applyProtection="1">
      <protection hidden="1"/>
    </xf>
    <xf numFmtId="0" fontId="21" fillId="0" borderId="9" xfId="0" applyFont="1" applyBorder="1" applyAlignment="1" applyProtection="1">
      <alignment horizontal="center"/>
      <protection hidden="1"/>
    </xf>
    <xf numFmtId="0" fontId="21" fillId="0" borderId="10" xfId="0" applyFont="1" applyBorder="1" applyAlignment="1" applyProtection="1">
      <alignment horizontal="center" vertical="center"/>
      <protection hidden="1"/>
    </xf>
    <xf numFmtId="0" fontId="21" fillId="3" borderId="10" xfId="0" applyFont="1" applyFill="1" applyBorder="1" applyAlignment="1" applyProtection="1">
      <alignment horizontal="center" vertical="center"/>
      <protection hidden="1"/>
    </xf>
    <xf numFmtId="0" fontId="19" fillId="7" borderId="23" xfId="0" applyFont="1" applyFill="1" applyBorder="1" applyAlignment="1" applyProtection="1">
      <alignment horizontal="center" vertical="center"/>
      <protection hidden="1"/>
    </xf>
    <xf numFmtId="0" fontId="21" fillId="5" borderId="23" xfId="0" applyNumberFormat="1" applyFont="1" applyFill="1" applyBorder="1" applyAlignment="1" applyProtection="1">
      <alignment horizontal="center" vertical="center"/>
      <protection hidden="1"/>
    </xf>
    <xf numFmtId="10" fontId="21" fillId="7" borderId="54" xfId="0" applyNumberFormat="1" applyFont="1" applyFill="1" applyBorder="1" applyAlignment="1" applyProtection="1">
      <alignment horizontal="center"/>
      <protection hidden="1"/>
    </xf>
    <xf numFmtId="0" fontId="20" fillId="0" borderId="12" xfId="0" applyFont="1" applyBorder="1" applyProtection="1">
      <protection hidden="1"/>
    </xf>
    <xf numFmtId="0" fontId="20" fillId="0" borderId="13" xfId="0" applyFont="1" applyBorder="1" applyAlignment="1" applyProtection="1">
      <alignment horizontal="center" vertical="center"/>
      <protection hidden="1"/>
    </xf>
    <xf numFmtId="1" fontId="20" fillId="0" borderId="13" xfId="0" applyNumberFormat="1" applyFont="1" applyBorder="1" applyAlignment="1" applyProtection="1">
      <alignment horizontal="center" vertical="center"/>
      <protection hidden="1"/>
    </xf>
    <xf numFmtId="1" fontId="76" fillId="3" borderId="13" xfId="0" applyNumberFormat="1" applyFont="1" applyFill="1" applyBorder="1" applyAlignment="1" applyProtection="1">
      <alignment horizontal="center" vertical="center"/>
      <protection hidden="1"/>
    </xf>
    <xf numFmtId="1" fontId="78" fillId="7" borderId="50" xfId="0" applyNumberFormat="1" applyFont="1" applyFill="1" applyBorder="1" applyAlignment="1" applyProtection="1">
      <alignment horizontal="center" vertical="center"/>
      <protection hidden="1"/>
    </xf>
    <xf numFmtId="0" fontId="21" fillId="5" borderId="50" xfId="0" applyNumberFormat="1" applyFont="1" applyFill="1" applyBorder="1" applyAlignment="1" applyProtection="1">
      <alignment horizontal="center" vertical="center"/>
      <protection hidden="1"/>
    </xf>
    <xf numFmtId="166" fontId="21" fillId="10" borderId="6" xfId="0" applyNumberFormat="1" applyFont="1" applyFill="1" applyBorder="1" applyAlignment="1" applyProtection="1">
      <alignment horizontal="center" vertical="top"/>
      <protection hidden="1"/>
    </xf>
    <xf numFmtId="2" fontId="21" fillId="10" borderId="6" xfId="0" applyNumberFormat="1" applyFont="1" applyFill="1" applyBorder="1" applyAlignment="1" applyProtection="1">
      <alignment horizontal="center"/>
      <protection hidden="1"/>
    </xf>
    <xf numFmtId="10" fontId="21" fillId="10" borderId="37" xfId="0" applyNumberFormat="1" applyFont="1" applyFill="1" applyBorder="1" applyAlignment="1" applyProtection="1">
      <alignment horizontal="center"/>
      <protection hidden="1"/>
    </xf>
    <xf numFmtId="0" fontId="20" fillId="0" borderId="5" xfId="0" applyFont="1" applyBorder="1" applyProtection="1">
      <protection hidden="1"/>
    </xf>
    <xf numFmtId="166" fontId="20" fillId="10" borderId="6" xfId="0" applyNumberFormat="1" applyFont="1" applyFill="1" applyBorder="1" applyAlignment="1" applyProtection="1">
      <alignment horizontal="center" vertical="top"/>
      <protection hidden="1"/>
    </xf>
    <xf numFmtId="10" fontId="20" fillId="10" borderId="37" xfId="0" applyNumberFormat="1" applyFont="1" applyFill="1" applyBorder="1" applyAlignment="1" applyProtection="1">
      <alignment horizontal="center"/>
      <protection hidden="1"/>
    </xf>
    <xf numFmtId="0" fontId="20" fillId="0" borderId="7" xfId="0" applyFont="1" applyBorder="1" applyProtection="1">
      <protection hidden="1"/>
    </xf>
    <xf numFmtId="10" fontId="20" fillId="7" borderId="38" xfId="0" applyNumberFormat="1" applyFont="1" applyFill="1" applyBorder="1" applyAlignment="1" applyProtection="1">
      <alignment horizontal="center"/>
      <protection hidden="1"/>
    </xf>
    <xf numFmtId="166" fontId="21" fillId="10" borderId="8" xfId="0" applyNumberFormat="1" applyFont="1" applyFill="1" applyBorder="1" applyAlignment="1" applyProtection="1">
      <alignment horizontal="center" vertical="top"/>
      <protection hidden="1"/>
    </xf>
    <xf numFmtId="2" fontId="21" fillId="10" borderId="8" xfId="0" applyNumberFormat="1" applyFont="1" applyFill="1" applyBorder="1" applyAlignment="1" applyProtection="1">
      <alignment horizontal="center"/>
      <protection hidden="1"/>
    </xf>
    <xf numFmtId="10" fontId="20" fillId="10" borderId="38" xfId="0" applyNumberFormat="1" applyFont="1" applyFill="1" applyBorder="1" applyAlignment="1" applyProtection="1">
      <alignment horizontal="center"/>
      <protection hidden="1"/>
    </xf>
    <xf numFmtId="0" fontId="16" fillId="0" borderId="0" xfId="0" applyFont="1" applyBorder="1" applyProtection="1">
      <protection hidden="1"/>
    </xf>
    <xf numFmtId="10" fontId="29" fillId="4" borderId="44" xfId="0" applyNumberFormat="1" applyFont="1" applyFill="1" applyBorder="1" applyProtection="1">
      <protection hidden="1"/>
    </xf>
    <xf numFmtId="0" fontId="21" fillId="5" borderId="32" xfId="0" applyNumberFormat="1" applyFont="1" applyFill="1" applyBorder="1" applyAlignment="1" applyProtection="1">
      <alignment horizontal="center" vertical="center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1" fontId="20" fillId="3" borderId="4" xfId="0" applyNumberFormat="1" applyFont="1" applyFill="1" applyBorder="1" applyAlignment="1" applyProtection="1">
      <alignment horizontal="center" vertical="center"/>
      <protection hidden="1"/>
    </xf>
    <xf numFmtId="1" fontId="19" fillId="7" borderId="39" xfId="0" applyNumberFormat="1" applyFont="1" applyFill="1" applyBorder="1" applyAlignment="1" applyProtection="1">
      <alignment horizontal="center" vertical="center"/>
      <protection hidden="1"/>
    </xf>
    <xf numFmtId="1" fontId="58" fillId="10" borderId="6" xfId="0" applyNumberFormat="1" applyFont="1" applyFill="1" applyBorder="1" applyAlignment="1" applyProtection="1">
      <alignment horizontal="center" vertical="top"/>
      <protection hidden="1"/>
    </xf>
    <xf numFmtId="3" fontId="16" fillId="4" borderId="6" xfId="0" applyNumberFormat="1" applyFont="1" applyFill="1" applyBorder="1" applyAlignment="1" applyProtection="1">
      <alignment horizontal="center"/>
      <protection hidden="1"/>
    </xf>
    <xf numFmtId="4" fontId="16" fillId="4" borderId="6" xfId="0" applyNumberFormat="1" applyFont="1" applyFill="1" applyBorder="1" applyAlignment="1" applyProtection="1">
      <alignment horizontal="center"/>
      <protection hidden="1"/>
    </xf>
    <xf numFmtId="0" fontId="20" fillId="28" borderId="11" xfId="0" applyFont="1" applyFill="1" applyBorder="1" applyAlignment="1" applyProtection="1">
      <alignment horizontal="center" vertical="center"/>
      <protection hidden="1"/>
    </xf>
    <xf numFmtId="0" fontId="20" fillId="28" borderId="8" xfId="0" applyFont="1" applyFill="1" applyBorder="1" applyAlignment="1" applyProtection="1">
      <alignment horizontal="center" vertical="center"/>
      <protection hidden="1"/>
    </xf>
    <xf numFmtId="1" fontId="20" fillId="28" borderId="8" xfId="0" applyNumberFormat="1" applyFont="1" applyFill="1" applyBorder="1" applyAlignment="1" applyProtection="1">
      <alignment horizontal="center" vertical="center"/>
      <protection hidden="1"/>
    </xf>
    <xf numFmtId="0" fontId="21" fillId="28" borderId="38" xfId="0" applyNumberFormat="1" applyFont="1" applyFill="1" applyBorder="1" applyAlignment="1" applyProtection="1">
      <alignment horizontal="center" vertical="center"/>
      <protection hidden="1"/>
    </xf>
    <xf numFmtId="1" fontId="58" fillId="28" borderId="8" xfId="0" applyNumberFormat="1" applyFont="1" applyFill="1" applyBorder="1" applyAlignment="1" applyProtection="1">
      <alignment horizontal="center" vertical="top"/>
      <protection hidden="1"/>
    </xf>
    <xf numFmtId="1" fontId="33" fillId="28" borderId="8" xfId="0" applyNumberFormat="1" applyFont="1" applyFill="1" applyBorder="1" applyAlignment="1" applyProtection="1">
      <alignment horizontal="center" vertical="top"/>
      <protection hidden="1"/>
    </xf>
    <xf numFmtId="166" fontId="76" fillId="28" borderId="8" xfId="0" applyNumberFormat="1" applyFont="1" applyFill="1" applyBorder="1" applyAlignment="1" applyProtection="1">
      <alignment horizontal="center" vertical="top"/>
      <protection hidden="1"/>
    </xf>
    <xf numFmtId="2" fontId="21" fillId="28" borderId="8" xfId="0" applyNumberFormat="1" applyFont="1" applyFill="1" applyBorder="1" applyAlignment="1" applyProtection="1">
      <alignment horizontal="center"/>
      <protection hidden="1"/>
    </xf>
    <xf numFmtId="10" fontId="20" fillId="28" borderId="35" xfId="0" applyNumberFormat="1" applyFont="1" applyFill="1" applyBorder="1" applyAlignment="1" applyProtection="1">
      <alignment horizontal="center"/>
      <protection hidden="1"/>
    </xf>
    <xf numFmtId="166" fontId="21" fillId="28" borderId="8" xfId="0" applyNumberFormat="1" applyFont="1" applyFill="1" applyBorder="1" applyAlignment="1" applyProtection="1">
      <alignment horizontal="center" vertical="top"/>
      <protection hidden="1"/>
    </xf>
    <xf numFmtId="10" fontId="20" fillId="28" borderId="38" xfId="0" applyNumberFormat="1" applyFont="1" applyFill="1" applyBorder="1" applyAlignment="1" applyProtection="1">
      <alignment horizontal="center"/>
      <protection hidden="1"/>
    </xf>
    <xf numFmtId="0" fontId="20" fillId="0" borderId="0" xfId="0" applyFont="1" applyBorder="1" applyProtection="1"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1" fontId="20" fillId="0" borderId="0" xfId="0" applyNumberFormat="1" applyFont="1" applyBorder="1" applyAlignment="1" applyProtection="1">
      <alignment horizontal="center" vertical="center"/>
      <protection hidden="1"/>
    </xf>
    <xf numFmtId="1" fontId="20" fillId="4" borderId="0" xfId="0" applyNumberFormat="1" applyFont="1" applyFill="1" applyBorder="1" applyAlignment="1" applyProtection="1">
      <alignment horizontal="center" vertical="center"/>
      <protection hidden="1"/>
    </xf>
    <xf numFmtId="1" fontId="19" fillId="4" borderId="0" xfId="0" applyNumberFormat="1" applyFont="1" applyFill="1" applyBorder="1" applyAlignment="1" applyProtection="1">
      <alignment horizontal="center" vertical="center"/>
      <protection hidden="1"/>
    </xf>
    <xf numFmtId="0" fontId="21" fillId="4" borderId="0" xfId="0" applyNumberFormat="1" applyFont="1" applyFill="1" applyBorder="1" applyAlignment="1" applyProtection="1">
      <alignment horizontal="center" vertical="center"/>
      <protection hidden="1"/>
    </xf>
    <xf numFmtId="10" fontId="29" fillId="0" borderId="41" xfId="0" applyNumberFormat="1" applyFont="1" applyBorder="1" applyProtection="1">
      <protection hidden="1"/>
    </xf>
    <xf numFmtId="0" fontId="79" fillId="19" borderId="6" xfId="0" applyFont="1" applyFill="1" applyBorder="1" applyAlignment="1" applyProtection="1">
      <alignment horizontal="center"/>
      <protection hidden="1"/>
    </xf>
    <xf numFmtId="0" fontId="16" fillId="19" borderId="0" xfId="0" applyFont="1" applyFill="1" applyBorder="1" applyProtection="1">
      <protection hidden="1"/>
    </xf>
    <xf numFmtId="9" fontId="29" fillId="29" borderId="0" xfId="0" applyNumberFormat="1" applyFont="1" applyFill="1" applyBorder="1" applyAlignment="1" applyProtection="1">
      <alignment horizontal="center"/>
      <protection hidden="1"/>
    </xf>
    <xf numFmtId="1" fontId="21" fillId="23" borderId="9" xfId="0" applyNumberFormat="1" applyFont="1" applyFill="1" applyBorder="1" applyAlignment="1" applyProtection="1">
      <alignment horizontal="center" vertical="center"/>
      <protection hidden="1"/>
    </xf>
    <xf numFmtId="1" fontId="21" fillId="23" borderId="25" xfId="0" applyNumberFormat="1" applyFont="1" applyFill="1" applyBorder="1" applyAlignment="1" applyProtection="1">
      <alignment horizontal="center" vertical="center"/>
      <protection hidden="1"/>
    </xf>
    <xf numFmtId="10" fontId="21" fillId="23" borderId="52" xfId="0" applyNumberFormat="1" applyFont="1" applyFill="1" applyBorder="1" applyAlignment="1" applyProtection="1">
      <alignment horizontal="center"/>
      <protection hidden="1"/>
    </xf>
    <xf numFmtId="1" fontId="20" fillId="19" borderId="4" xfId="0" applyNumberFormat="1" applyFont="1" applyFill="1" applyBorder="1" applyAlignment="1" applyProtection="1">
      <alignment horizontal="center" vertical="center"/>
      <protection hidden="1"/>
    </xf>
    <xf numFmtId="0" fontId="21" fillId="5" borderId="47" xfId="0" applyNumberFormat="1" applyFont="1" applyFill="1" applyBorder="1" applyAlignment="1" applyProtection="1">
      <alignment horizontal="center" vertical="center"/>
      <protection hidden="1"/>
    </xf>
    <xf numFmtId="1" fontId="58" fillId="10" borderId="12" xfId="0" applyNumberFormat="1" applyFont="1" applyFill="1" applyBorder="1" applyAlignment="1" applyProtection="1">
      <alignment horizontal="center" vertical="top"/>
      <protection hidden="1"/>
    </xf>
    <xf numFmtId="1" fontId="33" fillId="10" borderId="29" xfId="0" applyNumberFormat="1" applyFont="1" applyFill="1" applyBorder="1" applyAlignment="1" applyProtection="1">
      <alignment horizontal="center" vertical="top"/>
      <protection hidden="1"/>
    </xf>
    <xf numFmtId="166" fontId="33" fillId="10" borderId="29" xfId="0" applyNumberFormat="1" applyFont="1" applyFill="1" applyBorder="1" applyAlignment="1" applyProtection="1">
      <alignment horizontal="center" vertical="top"/>
      <protection hidden="1"/>
    </xf>
    <xf numFmtId="2" fontId="21" fillId="19" borderId="6" xfId="0" applyNumberFormat="1" applyFont="1" applyFill="1" applyBorder="1" applyAlignment="1" applyProtection="1">
      <alignment horizontal="center"/>
      <protection hidden="1"/>
    </xf>
    <xf numFmtId="3" fontId="16" fillId="0" borderId="13" xfId="0" applyNumberFormat="1" applyFont="1" applyBorder="1" applyAlignment="1" applyProtection="1">
      <alignment horizontal="center"/>
      <protection hidden="1"/>
    </xf>
    <xf numFmtId="4" fontId="16" fillId="0" borderId="13" xfId="0" applyNumberFormat="1" applyFont="1" applyBorder="1" applyAlignment="1" applyProtection="1">
      <alignment horizontal="center"/>
      <protection hidden="1"/>
    </xf>
    <xf numFmtId="1" fontId="20" fillId="19" borderId="6" xfId="0" applyNumberFormat="1" applyFont="1" applyFill="1" applyBorder="1" applyAlignment="1" applyProtection="1">
      <alignment horizontal="center" vertical="center"/>
      <protection hidden="1"/>
    </xf>
    <xf numFmtId="0" fontId="21" fillId="5" borderId="34" xfId="0" applyNumberFormat="1" applyFont="1" applyFill="1" applyBorder="1" applyAlignment="1" applyProtection="1">
      <alignment horizontal="center" vertical="center"/>
      <protection hidden="1"/>
    </xf>
    <xf numFmtId="1" fontId="33" fillId="10" borderId="26" xfId="0" applyNumberFormat="1" applyFont="1" applyFill="1" applyBorder="1" applyAlignment="1" applyProtection="1">
      <alignment horizontal="center" vertical="top"/>
      <protection hidden="1"/>
    </xf>
    <xf numFmtId="166" fontId="33" fillId="10" borderId="26" xfId="0" applyNumberFormat="1" applyFont="1" applyFill="1" applyBorder="1" applyAlignment="1" applyProtection="1">
      <alignment horizontal="center" vertical="top"/>
      <protection hidden="1"/>
    </xf>
    <xf numFmtId="10" fontId="20" fillId="10" borderId="33" xfId="0" applyNumberFormat="1" applyFont="1" applyFill="1" applyBorder="1" applyAlignment="1" applyProtection="1">
      <alignment horizontal="center"/>
      <protection hidden="1"/>
    </xf>
    <xf numFmtId="10" fontId="20" fillId="7" borderId="50" xfId="0" applyNumberFormat="1" applyFont="1" applyFill="1" applyBorder="1" applyAlignment="1" applyProtection="1">
      <alignment horizontal="center"/>
      <protection hidden="1"/>
    </xf>
    <xf numFmtId="0" fontId="20" fillId="0" borderId="22" xfId="0" applyFont="1" applyBorder="1" applyAlignment="1" applyProtection="1">
      <alignment horizontal="center" vertical="center"/>
      <protection hidden="1"/>
    </xf>
    <xf numFmtId="0" fontId="20" fillId="0" borderId="17" xfId="0" applyFont="1" applyBorder="1" applyAlignment="1" applyProtection="1">
      <alignment horizontal="center" vertical="center"/>
      <protection hidden="1"/>
    </xf>
    <xf numFmtId="1" fontId="20" fillId="19" borderId="17" xfId="0" applyNumberFormat="1" applyFont="1" applyFill="1" applyBorder="1" applyAlignment="1" applyProtection="1">
      <alignment horizontal="center" vertical="center"/>
      <protection hidden="1"/>
    </xf>
    <xf numFmtId="1" fontId="20" fillId="0" borderId="17" xfId="0" applyNumberFormat="1" applyFont="1" applyBorder="1" applyAlignment="1" applyProtection="1">
      <alignment horizontal="center" vertical="center"/>
      <protection hidden="1"/>
    </xf>
    <xf numFmtId="1" fontId="20" fillId="3" borderId="17" xfId="0" applyNumberFormat="1" applyFont="1" applyFill="1" applyBorder="1" applyAlignment="1" applyProtection="1">
      <alignment horizontal="center" vertical="center"/>
      <protection hidden="1"/>
    </xf>
    <xf numFmtId="1" fontId="19" fillId="7" borderId="73" xfId="0" applyNumberFormat="1" applyFont="1" applyFill="1" applyBorder="1" applyAlignment="1" applyProtection="1">
      <alignment horizontal="center" vertical="center"/>
      <protection hidden="1"/>
    </xf>
    <xf numFmtId="0" fontId="21" fillId="5" borderId="35" xfId="0" applyNumberFormat="1" applyFont="1" applyFill="1" applyBorder="1" applyAlignment="1" applyProtection="1">
      <alignment horizontal="center" vertical="center"/>
      <protection hidden="1"/>
    </xf>
    <xf numFmtId="1" fontId="33" fillId="10" borderId="30" xfId="0" applyNumberFormat="1" applyFont="1" applyFill="1" applyBorder="1" applyAlignment="1" applyProtection="1">
      <alignment horizontal="center" vertical="top"/>
      <protection hidden="1"/>
    </xf>
    <xf numFmtId="166" fontId="76" fillId="10" borderId="30" xfId="0" applyNumberFormat="1" applyFont="1" applyFill="1" applyBorder="1" applyAlignment="1" applyProtection="1">
      <alignment horizontal="center" vertical="top"/>
      <protection hidden="1"/>
    </xf>
    <xf numFmtId="10" fontId="20" fillId="10" borderId="48" xfId="0" applyNumberFormat="1" applyFont="1" applyFill="1" applyBorder="1" applyAlignment="1" applyProtection="1">
      <alignment horizontal="center"/>
      <protection hidden="1"/>
    </xf>
    <xf numFmtId="10" fontId="20" fillId="7" borderId="72" xfId="0" applyNumberFormat="1" applyFont="1" applyFill="1" applyBorder="1" applyAlignment="1" applyProtection="1">
      <alignment horizontal="center"/>
      <protection hidden="1"/>
    </xf>
    <xf numFmtId="0" fontId="17" fillId="0" borderId="6" xfId="0" applyFont="1" applyBorder="1" applyAlignment="1" applyProtection="1">
      <alignment horizontal="center" vertical="center"/>
      <protection hidden="1"/>
    </xf>
    <xf numFmtId="0" fontId="30" fillId="0" borderId="6" xfId="0" applyFont="1" applyBorder="1" applyAlignment="1" applyProtection="1">
      <alignment horizontal="center" vertical="center"/>
      <protection hidden="1"/>
    </xf>
    <xf numFmtId="1" fontId="53" fillId="0" borderId="6" xfId="0" applyNumberFormat="1" applyFont="1" applyBorder="1" applyAlignment="1" applyProtection="1">
      <alignment horizontal="center" vertical="center"/>
      <protection hidden="1"/>
    </xf>
    <xf numFmtId="1" fontId="19" fillId="7" borderId="6" xfId="0" applyNumberFormat="1" applyFont="1" applyFill="1" applyBorder="1" applyAlignment="1" applyProtection="1">
      <alignment horizontal="center" vertical="center"/>
      <protection hidden="1"/>
    </xf>
    <xf numFmtId="1" fontId="58" fillId="10" borderId="0" xfId="0" applyNumberFormat="1" applyFont="1" applyFill="1" applyBorder="1" applyAlignment="1" applyProtection="1">
      <alignment horizontal="center" vertical="top"/>
      <protection hidden="1"/>
    </xf>
    <xf numFmtId="1" fontId="33" fillId="10" borderId="0" xfId="0" applyNumberFormat="1" applyFont="1" applyFill="1" applyBorder="1" applyAlignment="1" applyProtection="1">
      <alignment horizontal="center" vertical="top"/>
      <protection hidden="1"/>
    </xf>
    <xf numFmtId="166" fontId="21" fillId="10" borderId="0" xfId="0" applyNumberFormat="1" applyFont="1" applyFill="1" applyBorder="1" applyAlignment="1" applyProtection="1">
      <alignment horizontal="center" vertical="top"/>
      <protection hidden="1"/>
    </xf>
    <xf numFmtId="2" fontId="21" fillId="19" borderId="0" xfId="0" applyNumberFormat="1" applyFont="1" applyFill="1" applyBorder="1" applyAlignment="1" applyProtection="1">
      <alignment horizontal="center"/>
      <protection hidden="1"/>
    </xf>
    <xf numFmtId="10" fontId="20" fillId="10" borderId="0" xfId="0" applyNumberFormat="1" applyFont="1" applyFill="1" applyBorder="1" applyAlignment="1" applyProtection="1">
      <alignment horizontal="center"/>
      <protection hidden="1"/>
    </xf>
    <xf numFmtId="10" fontId="16" fillId="0" borderId="0" xfId="0" applyNumberFormat="1" applyFont="1" applyBorder="1" applyAlignment="1" applyProtection="1">
      <alignment horizontal="center"/>
      <protection hidden="1"/>
    </xf>
    <xf numFmtId="3" fontId="16" fillId="0" borderId="0" xfId="0" applyNumberFormat="1" applyFont="1" applyBorder="1" applyAlignment="1" applyProtection="1">
      <alignment horizontal="center"/>
      <protection hidden="1"/>
    </xf>
    <xf numFmtId="4" fontId="16" fillId="0" borderId="0" xfId="0" applyNumberFormat="1" applyFont="1" applyBorder="1" applyAlignment="1" applyProtection="1">
      <alignment horizontal="center"/>
      <protection hidden="1"/>
    </xf>
    <xf numFmtId="166" fontId="76" fillId="10" borderId="0" xfId="0" applyNumberFormat="1" applyFont="1" applyFill="1" applyBorder="1" applyAlignment="1" applyProtection="1">
      <alignment horizontal="center" vertical="top"/>
      <protection hidden="1"/>
    </xf>
    <xf numFmtId="2" fontId="21" fillId="24" borderId="0" xfId="0" applyNumberFormat="1" applyFont="1" applyFill="1" applyBorder="1" applyAlignment="1" applyProtection="1">
      <alignment horizontal="center"/>
      <protection hidden="1"/>
    </xf>
    <xf numFmtId="10" fontId="20" fillId="7" borderId="0" xfId="0" applyNumberFormat="1" applyFont="1" applyFill="1" applyBorder="1" applyAlignment="1" applyProtection="1">
      <alignment horizontal="center"/>
      <protection hidden="1"/>
    </xf>
    <xf numFmtId="10" fontId="21" fillId="7" borderId="56" xfId="0" applyNumberFormat="1" applyFont="1" applyFill="1" applyBorder="1" applyAlignment="1" applyProtection="1">
      <alignment horizontal="center"/>
      <protection hidden="1"/>
    </xf>
    <xf numFmtId="166" fontId="21" fillId="29" borderId="6" xfId="0" applyNumberFormat="1" applyFont="1" applyFill="1" applyBorder="1" applyAlignment="1" applyProtection="1">
      <alignment horizontal="center"/>
      <protection hidden="1"/>
    </xf>
    <xf numFmtId="10" fontId="21" fillId="29" borderId="6" xfId="0" applyNumberFormat="1" applyFont="1" applyFill="1" applyBorder="1" applyAlignment="1" applyProtection="1">
      <alignment horizontal="center"/>
      <protection hidden="1"/>
    </xf>
    <xf numFmtId="1" fontId="20" fillId="7" borderId="4" xfId="0" applyNumberFormat="1" applyFont="1" applyFill="1" applyBorder="1" applyAlignment="1" applyProtection="1">
      <alignment horizontal="center" vertical="center"/>
      <protection hidden="1"/>
    </xf>
    <xf numFmtId="10" fontId="20" fillId="10" borderId="6" xfId="0" applyNumberFormat="1" applyFont="1" applyFill="1" applyBorder="1" applyAlignment="1" applyProtection="1">
      <alignment horizontal="center"/>
      <protection hidden="1"/>
    </xf>
    <xf numFmtId="10" fontId="20" fillId="7" borderId="13" xfId="0" applyNumberFormat="1" applyFont="1" applyFill="1" applyBorder="1" applyAlignment="1" applyProtection="1">
      <alignment horizontal="center"/>
      <protection hidden="1"/>
    </xf>
    <xf numFmtId="1" fontId="20" fillId="7" borderId="6" xfId="0" applyNumberFormat="1" applyFont="1" applyFill="1" applyBorder="1" applyAlignment="1" applyProtection="1">
      <alignment horizontal="center" vertical="center"/>
      <protection hidden="1"/>
    </xf>
    <xf numFmtId="10" fontId="20" fillId="7" borderId="6" xfId="0" applyNumberFormat="1" applyFont="1" applyFill="1" applyBorder="1" applyAlignment="1" applyProtection="1">
      <alignment horizontal="center"/>
      <protection hidden="1"/>
    </xf>
    <xf numFmtId="0" fontId="20" fillId="0" borderId="11" xfId="0" applyFont="1" applyBorder="1" applyAlignment="1" applyProtection="1">
      <alignment horizontal="center" vertical="center"/>
      <protection hidden="1"/>
    </xf>
    <xf numFmtId="1" fontId="20" fillId="7" borderId="8" xfId="0" applyNumberFormat="1" applyFont="1" applyFill="1" applyBorder="1" applyAlignment="1" applyProtection="1">
      <alignment horizontal="center" vertical="center"/>
      <protection hidden="1"/>
    </xf>
    <xf numFmtId="10" fontId="20" fillId="7" borderId="17" xfId="0" applyNumberFormat="1" applyFont="1" applyFill="1" applyBorder="1" applyAlignment="1" applyProtection="1">
      <alignment horizontal="center"/>
      <protection hidden="1"/>
    </xf>
    <xf numFmtId="166" fontId="21" fillId="23" borderId="20" xfId="0" applyNumberFormat="1" applyFont="1" applyFill="1" applyBorder="1" applyAlignment="1" applyProtection="1">
      <alignment horizontal="center" vertical="center"/>
      <protection hidden="1"/>
    </xf>
    <xf numFmtId="2" fontId="21" fillId="24" borderId="10" xfId="0" applyNumberFormat="1" applyFont="1" applyFill="1" applyBorder="1" applyAlignment="1" applyProtection="1">
      <alignment horizontal="center"/>
      <protection hidden="1"/>
    </xf>
    <xf numFmtId="1" fontId="33" fillId="10" borderId="13" xfId="0" applyNumberFormat="1" applyFont="1" applyFill="1" applyBorder="1" applyAlignment="1" applyProtection="1">
      <alignment horizontal="center" vertical="top"/>
      <protection hidden="1"/>
    </xf>
    <xf numFmtId="166" fontId="33" fillId="10" borderId="13" xfId="0" applyNumberFormat="1" applyFont="1" applyFill="1" applyBorder="1" applyAlignment="1" applyProtection="1">
      <alignment horizontal="center" vertical="top"/>
      <protection hidden="1"/>
    </xf>
    <xf numFmtId="2" fontId="32" fillId="24" borderId="6" xfId="0" applyNumberFormat="1" applyFont="1" applyFill="1" applyBorder="1" applyAlignment="1" applyProtection="1">
      <alignment horizontal="center" vertical="top" wrapText="1"/>
      <protection hidden="1"/>
    </xf>
    <xf numFmtId="2" fontId="32" fillId="24" borderId="8" xfId="0" applyNumberFormat="1" applyFont="1" applyFill="1" applyBorder="1" applyAlignment="1" applyProtection="1">
      <alignment horizontal="center" vertical="top" wrapText="1"/>
      <protection hidden="1"/>
    </xf>
    <xf numFmtId="10" fontId="20" fillId="7" borderId="74" xfId="0" applyNumberFormat="1" applyFont="1" applyFill="1" applyBorder="1" applyAlignment="1" applyProtection="1">
      <alignment horizontal="center"/>
      <protection hidden="1"/>
    </xf>
    <xf numFmtId="3" fontId="21" fillId="0" borderId="21" xfId="0" applyNumberFormat="1" applyFont="1" applyBorder="1" applyAlignment="1" applyProtection="1">
      <alignment horizontal="center" vertical="justify"/>
      <protection hidden="1"/>
    </xf>
    <xf numFmtId="4" fontId="21" fillId="0" borderId="2" xfId="0" applyNumberFormat="1" applyFont="1" applyBorder="1" applyAlignment="1" applyProtection="1">
      <alignment horizontal="center" vertical="justify"/>
      <protection hidden="1"/>
    </xf>
    <xf numFmtId="0" fontId="20" fillId="28" borderId="9" xfId="0" applyFont="1" applyFill="1" applyBorder="1" applyAlignment="1" applyProtection="1">
      <alignment horizontal="center" vertical="center"/>
      <protection hidden="1"/>
    </xf>
    <xf numFmtId="0" fontId="20" fillId="28" borderId="10" xfId="0" applyFont="1" applyFill="1" applyBorder="1" applyAlignment="1" applyProtection="1">
      <alignment horizontal="center" vertical="center"/>
      <protection hidden="1"/>
    </xf>
    <xf numFmtId="1" fontId="20" fillId="28" borderId="10" xfId="0" applyNumberFormat="1" applyFont="1" applyFill="1" applyBorder="1" applyAlignment="1" applyProtection="1">
      <alignment horizontal="center" vertical="center"/>
      <protection hidden="1"/>
    </xf>
    <xf numFmtId="1" fontId="19" fillId="7" borderId="23" xfId="0" applyNumberFormat="1" applyFont="1" applyFill="1" applyBorder="1" applyAlignment="1" applyProtection="1">
      <alignment horizontal="center" vertical="center"/>
      <protection hidden="1"/>
    </xf>
    <xf numFmtId="0" fontId="21" fillId="28" borderId="32" xfId="0" applyNumberFormat="1" applyFont="1" applyFill="1" applyBorder="1" applyAlignment="1" applyProtection="1">
      <alignment horizontal="center" vertical="center"/>
      <protection hidden="1"/>
    </xf>
    <xf numFmtId="1" fontId="58" fillId="28" borderId="11" xfId="0" applyNumberFormat="1" applyFont="1" applyFill="1" applyBorder="1" applyAlignment="1" applyProtection="1">
      <alignment horizontal="center" vertical="top"/>
      <protection hidden="1"/>
    </xf>
    <xf numFmtId="1" fontId="33" fillId="28" borderId="14" xfId="0" applyNumberFormat="1" applyFont="1" applyFill="1" applyBorder="1" applyAlignment="1" applyProtection="1">
      <alignment horizontal="center" vertical="top"/>
      <protection hidden="1"/>
    </xf>
    <xf numFmtId="166" fontId="20" fillId="28" borderId="14" xfId="0" applyNumberFormat="1" applyFont="1" applyFill="1" applyBorder="1" applyAlignment="1" applyProtection="1">
      <alignment horizontal="center" vertical="top"/>
      <protection hidden="1"/>
    </xf>
    <xf numFmtId="2" fontId="21" fillId="28" borderId="14" xfId="0" applyNumberFormat="1" applyFont="1" applyFill="1" applyBorder="1" applyAlignment="1" applyProtection="1">
      <alignment horizontal="center"/>
      <protection hidden="1"/>
    </xf>
    <xf numFmtId="10" fontId="20" fillId="28" borderId="48" xfId="0" applyNumberFormat="1" applyFont="1" applyFill="1" applyBorder="1" applyAlignment="1" applyProtection="1">
      <alignment horizontal="center"/>
      <protection hidden="1"/>
    </xf>
    <xf numFmtId="166" fontId="20" fillId="28" borderId="6" xfId="0" applyNumberFormat="1" applyFont="1" applyFill="1" applyBorder="1" applyAlignment="1" applyProtection="1">
      <alignment horizontal="center" vertical="top"/>
      <protection hidden="1"/>
    </xf>
    <xf numFmtId="2" fontId="21" fillId="28" borderId="6" xfId="0" applyNumberFormat="1" applyFont="1" applyFill="1" applyBorder="1" applyAlignment="1" applyProtection="1">
      <alignment horizontal="center"/>
      <protection hidden="1"/>
    </xf>
    <xf numFmtId="10" fontId="21" fillId="28" borderId="34" xfId="0" applyNumberFormat="1" applyFont="1" applyFill="1" applyBorder="1" applyAlignment="1" applyProtection="1">
      <alignment horizontal="center"/>
      <protection hidden="1"/>
    </xf>
    <xf numFmtId="3" fontId="29" fillId="0" borderId="6" xfId="0" applyNumberFormat="1" applyFont="1" applyBorder="1" applyAlignment="1" applyProtection="1">
      <alignment horizontal="center"/>
      <protection hidden="1"/>
    </xf>
    <xf numFmtId="10" fontId="29" fillId="27" borderId="6" xfId="0" applyNumberFormat="1" applyFont="1" applyFill="1" applyBorder="1" applyAlignment="1" applyProtection="1">
      <alignment horizontal="center"/>
      <protection hidden="1"/>
    </xf>
    <xf numFmtId="1" fontId="21" fillId="23" borderId="53" xfId="0" applyNumberFormat="1" applyFont="1" applyFill="1" applyBorder="1" applyAlignment="1" applyProtection="1">
      <alignment horizontal="center" vertical="center"/>
      <protection hidden="1"/>
    </xf>
    <xf numFmtId="1" fontId="21" fillId="23" borderId="42" xfId="0" applyNumberFormat="1" applyFont="1" applyFill="1" applyBorder="1" applyAlignment="1" applyProtection="1">
      <alignment horizontal="center" vertical="center"/>
      <protection hidden="1"/>
    </xf>
    <xf numFmtId="10" fontId="16" fillId="4" borderId="13" xfId="0" applyNumberFormat="1" applyFont="1" applyFill="1" applyBorder="1" applyAlignment="1" applyProtection="1">
      <alignment horizontal="center"/>
      <protection hidden="1"/>
    </xf>
    <xf numFmtId="3" fontId="16" fillId="4" borderId="13" xfId="0" applyNumberFormat="1" applyFont="1" applyFill="1" applyBorder="1" applyAlignment="1" applyProtection="1">
      <alignment horizontal="center"/>
      <protection hidden="1"/>
    </xf>
    <xf numFmtId="1" fontId="19" fillId="7" borderId="50" xfId="0" applyNumberFormat="1" applyFont="1" applyFill="1" applyBorder="1" applyAlignment="1" applyProtection="1">
      <alignment horizontal="center" vertical="center"/>
      <protection hidden="1"/>
    </xf>
    <xf numFmtId="166" fontId="80" fillId="10" borderId="13" xfId="0" applyNumberFormat="1" applyFont="1" applyFill="1" applyBorder="1" applyAlignment="1" applyProtection="1">
      <alignment horizontal="center" vertical="top"/>
      <protection hidden="1"/>
    </xf>
    <xf numFmtId="10" fontId="16" fillId="0" borderId="6" xfId="0" applyNumberFormat="1" applyFont="1" applyBorder="1" applyProtection="1">
      <protection hidden="1"/>
    </xf>
    <xf numFmtId="166" fontId="80" fillId="10" borderId="8" xfId="0" applyNumberFormat="1" applyFont="1" applyFill="1" applyBorder="1" applyAlignment="1" applyProtection="1">
      <alignment horizontal="center" vertical="top"/>
      <protection hidden="1"/>
    </xf>
    <xf numFmtId="10" fontId="29" fillId="24" borderId="0" xfId="0" applyNumberFormat="1" applyFont="1" applyFill="1" applyProtection="1">
      <protection hidden="1"/>
    </xf>
    <xf numFmtId="10" fontId="29" fillId="21" borderId="41" xfId="0" applyNumberFormat="1" applyFont="1" applyFill="1" applyBorder="1" applyProtection="1">
      <protection hidden="1"/>
    </xf>
    <xf numFmtId="166" fontId="29" fillId="21" borderId="0" xfId="0" applyNumberFormat="1" applyFont="1" applyFill="1" applyBorder="1" applyProtection="1">
      <protection hidden="1"/>
    </xf>
    <xf numFmtId="10" fontId="29" fillId="21" borderId="0" xfId="0" applyNumberFormat="1" applyFont="1" applyFill="1" applyBorder="1" applyProtection="1">
      <protection hidden="1"/>
    </xf>
    <xf numFmtId="10" fontId="29" fillId="26" borderId="0" xfId="0" applyNumberFormat="1" applyFont="1" applyFill="1" applyProtection="1">
      <protection hidden="1"/>
    </xf>
    <xf numFmtId="3" fontId="29" fillId="0" borderId="0" xfId="0" applyNumberFormat="1" applyFont="1" applyProtection="1">
      <protection hidden="1"/>
    </xf>
    <xf numFmtId="4" fontId="29" fillId="0" borderId="0" xfId="0" applyNumberFormat="1" applyFont="1" applyProtection="1">
      <protection hidden="1"/>
    </xf>
    <xf numFmtId="0" fontId="20" fillId="0" borderId="0" xfId="0" applyFont="1" applyFill="1" applyBorder="1" applyAlignment="1" applyProtection="1">
      <alignment horizontal="left" vertical="center"/>
      <protection hidden="1"/>
    </xf>
    <xf numFmtId="0" fontId="33" fillId="0" borderId="0" xfId="0" applyFont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0" fontId="21" fillId="0" borderId="41" xfId="0" applyNumberFormat="1" applyFont="1" applyFill="1" applyBorder="1" applyAlignment="1" applyProtection="1">
      <alignment horizontal="center" vertical="center"/>
      <protection hidden="1"/>
    </xf>
    <xf numFmtId="10" fontId="19" fillId="0" borderId="20" xfId="0" applyNumberFormat="1" applyFont="1" applyFill="1" applyBorder="1" applyAlignment="1" applyProtection="1">
      <alignment horizontal="center" vertical="center"/>
      <protection hidden="1"/>
    </xf>
    <xf numFmtId="0" fontId="21" fillId="0" borderId="20" xfId="0" applyNumberFormat="1" applyFont="1" applyFill="1" applyBorder="1" applyAlignment="1" applyProtection="1">
      <alignment horizontal="center" vertical="center"/>
      <protection hidden="1"/>
    </xf>
    <xf numFmtId="10" fontId="29" fillId="25" borderId="10" xfId="0" applyNumberFormat="1" applyFont="1" applyFill="1" applyBorder="1" applyAlignment="1" applyProtection="1">
      <alignment horizontal="center"/>
      <protection hidden="1"/>
    </xf>
    <xf numFmtId="1" fontId="29" fillId="25" borderId="10" xfId="0" applyNumberFormat="1" applyFont="1" applyFill="1" applyBorder="1" applyAlignment="1" applyProtection="1">
      <alignment horizontal="right"/>
      <protection hidden="1"/>
    </xf>
    <xf numFmtId="2" fontId="21" fillId="25" borderId="32" xfId="0" applyNumberFormat="1" applyFont="1" applyFill="1" applyBorder="1" applyAlignment="1" applyProtection="1">
      <alignment horizontal="center"/>
      <protection hidden="1"/>
    </xf>
    <xf numFmtId="10" fontId="64" fillId="7" borderId="0" xfId="0" applyNumberFormat="1" applyFont="1" applyFill="1" applyAlignment="1" applyProtection="1">
      <alignment horizontal="center"/>
      <protection hidden="1"/>
    </xf>
    <xf numFmtId="10" fontId="29" fillId="7" borderId="41" xfId="0" applyNumberFormat="1" applyFont="1" applyFill="1" applyBorder="1" applyProtection="1">
      <protection hidden="1"/>
    </xf>
    <xf numFmtId="10" fontId="29" fillId="30" borderId="20" xfId="0" applyNumberFormat="1" applyFont="1" applyFill="1" applyBorder="1" applyProtection="1">
      <protection hidden="1"/>
    </xf>
    <xf numFmtId="10" fontId="29" fillId="26" borderId="20" xfId="0" applyNumberFormat="1" applyFont="1" applyFill="1" applyBorder="1" applyProtection="1">
      <protection hidden="1"/>
    </xf>
    <xf numFmtId="10" fontId="29" fillId="21" borderId="20" xfId="0" applyNumberFormat="1" applyFont="1" applyFill="1" applyBorder="1" applyProtection="1">
      <protection hidden="1"/>
    </xf>
    <xf numFmtId="166" fontId="29" fillId="21" borderId="20" xfId="0" applyNumberFormat="1" applyFont="1" applyFill="1" applyBorder="1" applyProtection="1">
      <protection hidden="1"/>
    </xf>
    <xf numFmtId="0" fontId="25" fillId="0" borderId="0" xfId="0" applyFont="1" applyProtection="1">
      <protection hidden="1"/>
    </xf>
    <xf numFmtId="0" fontId="32" fillId="0" borderId="0" xfId="0" applyFont="1" applyProtection="1">
      <protection hidden="1"/>
    </xf>
    <xf numFmtId="0" fontId="21" fillId="0" borderId="0" xfId="0" applyFont="1" applyAlignment="1" applyProtection="1">
      <alignment horizontal="center" vertical="center"/>
      <protection hidden="1"/>
    </xf>
    <xf numFmtId="1" fontId="20" fillId="0" borderId="0" xfId="0" applyNumberFormat="1" applyFont="1" applyAlignment="1" applyProtection="1">
      <alignment horizontal="right"/>
      <protection hidden="1"/>
    </xf>
    <xf numFmtId="10" fontId="29" fillId="26" borderId="41" xfId="0" applyNumberFormat="1" applyFont="1" applyFill="1" applyBorder="1" applyProtection="1">
      <protection hidden="1"/>
    </xf>
    <xf numFmtId="3" fontId="29" fillId="27" borderId="41" xfId="0" applyNumberFormat="1" applyFont="1" applyFill="1" applyBorder="1" applyProtection="1">
      <protection hidden="1"/>
    </xf>
    <xf numFmtId="4" fontId="29" fillId="27" borderId="41" xfId="0" applyNumberFormat="1" applyFont="1" applyFill="1" applyBorder="1" applyProtection="1">
      <protection hidden="1"/>
    </xf>
    <xf numFmtId="10" fontId="16" fillId="27" borderId="0" xfId="0" applyNumberFormat="1" applyFont="1" applyFill="1" applyProtection="1">
      <protection hidden="1"/>
    </xf>
    <xf numFmtId="10" fontId="29" fillId="27" borderId="41" xfId="0" applyNumberFormat="1" applyFont="1" applyFill="1" applyBorder="1" applyAlignment="1" applyProtection="1">
      <alignment horizontal="center"/>
      <protection hidden="1"/>
    </xf>
    <xf numFmtId="10" fontId="29" fillId="21" borderId="41" xfId="0" applyNumberFormat="1" applyFont="1" applyFill="1" applyBorder="1" applyAlignment="1" applyProtection="1">
      <alignment horizontal="center"/>
      <protection hidden="1"/>
    </xf>
    <xf numFmtId="0" fontId="33" fillId="0" borderId="0" xfId="0" applyFont="1" applyProtection="1">
      <protection hidden="1"/>
    </xf>
    <xf numFmtId="0" fontId="73" fillId="0" borderId="0" xfId="1" applyFont="1" applyAlignment="1" applyProtection="1">
      <alignment horizontal="center" vertical="center"/>
      <protection hidden="1"/>
    </xf>
    <xf numFmtId="0" fontId="32" fillId="0" borderId="9" xfId="0" applyFont="1" applyBorder="1" applyAlignment="1" applyProtection="1">
      <alignment horizontal="center"/>
      <protection hidden="1"/>
    </xf>
    <xf numFmtId="0" fontId="32" fillId="0" borderId="10" xfId="0" applyFont="1" applyBorder="1" applyAlignment="1" applyProtection="1">
      <alignment horizontal="center" vertical="center"/>
      <protection hidden="1"/>
    </xf>
    <xf numFmtId="0" fontId="32" fillId="3" borderId="10" xfId="0" applyFont="1" applyFill="1" applyBorder="1" applyAlignment="1" applyProtection="1">
      <alignment horizontal="center" vertical="center"/>
      <protection hidden="1"/>
    </xf>
    <xf numFmtId="0" fontId="25" fillId="7" borderId="23" xfId="0" applyFont="1" applyFill="1" applyBorder="1" applyAlignment="1" applyProtection="1">
      <alignment horizontal="center" vertical="center"/>
      <protection hidden="1"/>
    </xf>
    <xf numFmtId="9" fontId="25" fillId="7" borderId="21" xfId="0" applyNumberFormat="1" applyFont="1" applyFill="1" applyBorder="1" applyAlignment="1" applyProtection="1">
      <alignment horizontal="center" vertical="center"/>
      <protection hidden="1"/>
    </xf>
    <xf numFmtId="9" fontId="32" fillId="5" borderId="21" xfId="0" applyNumberFormat="1" applyFont="1" applyFill="1" applyBorder="1" applyAlignment="1" applyProtection="1">
      <alignment horizontal="center" vertical="center"/>
      <protection hidden="1"/>
    </xf>
    <xf numFmtId="1" fontId="21" fillId="23" borderId="9" xfId="0" applyNumberFormat="1" applyFont="1" applyFill="1" applyBorder="1" applyAlignment="1" applyProtection="1">
      <alignment horizontal="right" vertical="center"/>
      <protection hidden="1"/>
    </xf>
    <xf numFmtId="2" fontId="21" fillId="23" borderId="41" xfId="0" applyNumberFormat="1" applyFont="1" applyFill="1" applyBorder="1" applyAlignment="1" applyProtection="1">
      <alignment horizontal="center"/>
      <protection hidden="1"/>
    </xf>
    <xf numFmtId="10" fontId="21" fillId="23" borderId="24" xfId="0" applyNumberFormat="1" applyFont="1" applyFill="1" applyBorder="1" applyAlignment="1" applyProtection="1">
      <alignment horizontal="center"/>
      <protection hidden="1"/>
    </xf>
    <xf numFmtId="0" fontId="33" fillId="28" borderId="1" xfId="0" applyFont="1" applyFill="1" applyBorder="1" applyAlignment="1" applyProtection="1">
      <alignment horizontal="center"/>
      <protection hidden="1"/>
    </xf>
    <xf numFmtId="0" fontId="33" fillId="28" borderId="4" xfId="0" applyFont="1" applyFill="1" applyBorder="1" applyAlignment="1" applyProtection="1">
      <alignment horizontal="center" vertical="center"/>
      <protection hidden="1"/>
    </xf>
    <xf numFmtId="1" fontId="33" fillId="28" borderId="4" xfId="0" applyNumberFormat="1" applyFont="1" applyFill="1" applyBorder="1" applyAlignment="1" applyProtection="1">
      <alignment horizontal="center" vertical="center"/>
      <protection hidden="1"/>
    </xf>
    <xf numFmtId="1" fontId="76" fillId="28" borderId="4" xfId="0" applyNumberFormat="1" applyFont="1" applyFill="1" applyBorder="1" applyAlignment="1" applyProtection="1">
      <alignment horizontal="center" vertical="center"/>
      <protection hidden="1"/>
    </xf>
    <xf numFmtId="1" fontId="32" fillId="28" borderId="6" xfId="0" applyNumberFormat="1" applyFont="1" applyFill="1" applyBorder="1" applyAlignment="1" applyProtection="1">
      <alignment horizontal="center" vertical="center"/>
      <protection hidden="1"/>
    </xf>
    <xf numFmtId="1" fontId="33" fillId="28" borderId="18" xfId="0" applyNumberFormat="1" applyFont="1" applyFill="1" applyBorder="1" applyAlignment="1" applyProtection="1">
      <alignment horizontal="center" vertical="top"/>
      <protection hidden="1"/>
    </xf>
    <xf numFmtId="166" fontId="80" fillId="28" borderId="18" xfId="0" applyNumberFormat="1" applyFont="1" applyFill="1" applyBorder="1" applyAlignment="1" applyProtection="1">
      <alignment horizontal="center" vertical="top"/>
      <protection hidden="1"/>
    </xf>
    <xf numFmtId="2" fontId="32" fillId="28" borderId="2" xfId="0" applyNumberFormat="1" applyFont="1" applyFill="1" applyBorder="1" applyAlignment="1" applyProtection="1">
      <alignment horizontal="center" vertical="top" wrapText="1"/>
      <protection hidden="1"/>
    </xf>
    <xf numFmtId="10" fontId="21" fillId="28" borderId="37" xfId="0" applyNumberFormat="1" applyFont="1" applyFill="1" applyBorder="1" applyAlignment="1" applyProtection="1">
      <alignment horizontal="center"/>
      <protection hidden="1"/>
    </xf>
    <xf numFmtId="166" fontId="20" fillId="28" borderId="3" xfId="0" applyNumberFormat="1" applyFont="1" applyFill="1" applyBorder="1" applyAlignment="1" applyProtection="1">
      <alignment horizontal="center" vertical="top"/>
      <protection hidden="1"/>
    </xf>
    <xf numFmtId="2" fontId="21" fillId="28" borderId="4" xfId="0" applyNumberFormat="1" applyFont="1" applyFill="1" applyBorder="1" applyAlignment="1" applyProtection="1">
      <alignment horizontal="center"/>
      <protection hidden="1"/>
    </xf>
    <xf numFmtId="10" fontId="21" fillId="28" borderId="39" xfId="0" applyNumberFormat="1" applyFont="1" applyFill="1" applyBorder="1" applyAlignment="1" applyProtection="1">
      <alignment horizontal="center"/>
      <protection hidden="1"/>
    </xf>
    <xf numFmtId="3" fontId="16" fillId="24" borderId="6" xfId="0" applyNumberFormat="1" applyFont="1" applyFill="1" applyBorder="1" applyAlignment="1" applyProtection="1">
      <alignment horizontal="center"/>
      <protection hidden="1"/>
    </xf>
    <xf numFmtId="0" fontId="33" fillId="28" borderId="5" xfId="0" applyFont="1" applyFill="1" applyBorder="1" applyAlignment="1" applyProtection="1">
      <alignment horizontal="center"/>
      <protection hidden="1"/>
    </xf>
    <xf numFmtId="0" fontId="33" fillId="28" borderId="6" xfId="0" applyFont="1" applyFill="1" applyBorder="1" applyAlignment="1" applyProtection="1">
      <alignment horizontal="center" vertical="center"/>
      <protection hidden="1"/>
    </xf>
    <xf numFmtId="1" fontId="33" fillId="28" borderId="6" xfId="0" applyNumberFormat="1" applyFont="1" applyFill="1" applyBorder="1" applyAlignment="1" applyProtection="1">
      <alignment horizontal="center" vertical="center"/>
      <protection hidden="1"/>
    </xf>
    <xf numFmtId="1" fontId="25" fillId="7" borderId="37" xfId="0" applyNumberFormat="1" applyFont="1" applyFill="1" applyBorder="1" applyAlignment="1" applyProtection="1">
      <alignment horizontal="center" vertical="center"/>
      <protection hidden="1"/>
    </xf>
    <xf numFmtId="1" fontId="33" fillId="28" borderId="30" xfId="0" applyNumberFormat="1" applyFont="1" applyFill="1" applyBorder="1" applyAlignment="1" applyProtection="1">
      <alignment horizontal="center" vertical="top"/>
      <protection hidden="1"/>
    </xf>
    <xf numFmtId="166" fontId="80" fillId="28" borderId="30" xfId="0" applyNumberFormat="1" applyFont="1" applyFill="1" applyBorder="1" applyAlignment="1" applyProtection="1">
      <alignment horizontal="center" vertical="top"/>
      <protection hidden="1"/>
    </xf>
    <xf numFmtId="2" fontId="32" fillId="28" borderId="8" xfId="0" applyNumberFormat="1" applyFont="1" applyFill="1" applyBorder="1" applyAlignment="1" applyProtection="1">
      <alignment horizontal="center" vertical="top" wrapText="1"/>
      <protection hidden="1"/>
    </xf>
    <xf numFmtId="10" fontId="21" fillId="28" borderId="38" xfId="0" applyNumberFormat="1" applyFont="1" applyFill="1" applyBorder="1" applyAlignment="1" applyProtection="1">
      <alignment horizontal="center"/>
      <protection hidden="1"/>
    </xf>
    <xf numFmtId="10" fontId="21" fillId="7" borderId="62" xfId="0" applyNumberFormat="1" applyFont="1" applyFill="1" applyBorder="1" applyAlignment="1" applyProtection="1">
      <alignment horizontal="center"/>
      <protection hidden="1"/>
    </xf>
    <xf numFmtId="166" fontId="21" fillId="28" borderId="5" xfId="0" applyNumberFormat="1" applyFont="1" applyFill="1" applyBorder="1" applyAlignment="1" applyProtection="1">
      <alignment horizontal="center" vertical="top"/>
      <protection hidden="1"/>
    </xf>
    <xf numFmtId="0" fontId="33" fillId="28" borderId="7" xfId="0" applyFont="1" applyFill="1" applyBorder="1" applyAlignment="1" applyProtection="1">
      <alignment horizontal="center"/>
      <protection hidden="1"/>
    </xf>
    <xf numFmtId="0" fontId="33" fillId="28" borderId="8" xfId="0" applyFont="1" applyFill="1" applyBorder="1" applyAlignment="1" applyProtection="1">
      <alignment horizontal="center" vertical="center"/>
      <protection hidden="1"/>
    </xf>
    <xf numFmtId="1" fontId="33" fillId="28" borderId="8" xfId="0" applyNumberFormat="1" applyFont="1" applyFill="1" applyBorder="1" applyAlignment="1" applyProtection="1">
      <alignment horizontal="center" vertical="center"/>
      <protection hidden="1"/>
    </xf>
    <xf numFmtId="1" fontId="25" fillId="7" borderId="38" xfId="0" applyNumberFormat="1" applyFont="1" applyFill="1" applyBorder="1" applyAlignment="1" applyProtection="1">
      <alignment horizontal="center" vertical="center"/>
      <protection hidden="1"/>
    </xf>
    <xf numFmtId="1" fontId="20" fillId="28" borderId="0" xfId="0" applyNumberFormat="1" applyFont="1" applyFill="1" applyAlignment="1" applyProtection="1">
      <alignment horizontal="right"/>
      <protection hidden="1"/>
    </xf>
    <xf numFmtId="1" fontId="20" fillId="28" borderId="0" xfId="0" applyNumberFormat="1" applyFont="1" applyFill="1" applyAlignment="1" applyProtection="1">
      <alignment horizontal="center"/>
      <protection hidden="1"/>
    </xf>
    <xf numFmtId="166" fontId="20" fillId="28" borderId="0" xfId="0" applyNumberFormat="1" applyFont="1" applyFill="1" applyAlignment="1" applyProtection="1">
      <alignment horizontal="center"/>
      <protection hidden="1"/>
    </xf>
    <xf numFmtId="2" fontId="21" fillId="28" borderId="0" xfId="0" applyNumberFormat="1" applyFont="1" applyFill="1" applyAlignment="1" applyProtection="1">
      <alignment horizontal="center"/>
      <protection hidden="1"/>
    </xf>
    <xf numFmtId="10" fontId="20" fillId="28" borderId="0" xfId="0" applyNumberFormat="1" applyFont="1" applyFill="1" applyAlignment="1" applyProtection="1">
      <alignment horizontal="center"/>
      <protection hidden="1"/>
    </xf>
    <xf numFmtId="166" fontId="21" fillId="28" borderId="7" xfId="0" applyNumberFormat="1" applyFont="1" applyFill="1" applyBorder="1" applyAlignment="1" applyProtection="1">
      <alignment horizontal="center" vertical="top"/>
      <protection hidden="1"/>
    </xf>
    <xf numFmtId="10" fontId="16" fillId="4" borderId="0" xfId="0" applyNumberFormat="1" applyFont="1" applyFill="1" applyProtection="1">
      <protection hidden="1"/>
    </xf>
    <xf numFmtId="10" fontId="29" fillId="22" borderId="0" xfId="0" applyNumberFormat="1" applyFont="1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2" fillId="0" borderId="1" xfId="0" applyFont="1" applyBorder="1" applyAlignment="1" applyProtection="1">
      <alignment horizontal="center"/>
      <protection hidden="1"/>
    </xf>
    <xf numFmtId="0" fontId="32" fillId="0" borderId="2" xfId="0" applyFont="1" applyBorder="1" applyAlignment="1" applyProtection="1">
      <alignment horizontal="center" vertical="center"/>
      <protection hidden="1"/>
    </xf>
    <xf numFmtId="0" fontId="32" fillId="3" borderId="2" xfId="0" applyFont="1" applyFill="1" applyBorder="1" applyAlignment="1" applyProtection="1">
      <alignment horizontal="center" vertical="center"/>
      <protection hidden="1"/>
    </xf>
    <xf numFmtId="0" fontId="25" fillId="7" borderId="21" xfId="0" applyFont="1" applyFill="1" applyBorder="1" applyAlignment="1" applyProtection="1">
      <alignment horizontal="center" vertical="center"/>
      <protection hidden="1"/>
    </xf>
    <xf numFmtId="9" fontId="32" fillId="5" borderId="24" xfId="0" applyNumberFormat="1" applyFont="1" applyFill="1" applyBorder="1" applyAlignment="1" applyProtection="1">
      <alignment horizontal="center" vertical="center"/>
      <protection hidden="1"/>
    </xf>
    <xf numFmtId="0" fontId="33" fillId="28" borderId="3" xfId="0" applyFont="1" applyFill="1" applyBorder="1" applyAlignment="1" applyProtection="1">
      <alignment horizontal="center"/>
      <protection hidden="1"/>
    </xf>
    <xf numFmtId="1" fontId="32" fillId="28" borderId="47" xfId="0" applyNumberFormat="1" applyFont="1" applyFill="1" applyBorder="1" applyAlignment="1" applyProtection="1">
      <alignment horizontal="center" vertical="center"/>
      <protection hidden="1"/>
    </xf>
    <xf numFmtId="1" fontId="32" fillId="28" borderId="34" xfId="0" applyNumberFormat="1" applyFont="1" applyFill="1" applyBorder="1" applyAlignment="1" applyProtection="1">
      <alignment horizontal="center" vertical="center"/>
      <protection hidden="1"/>
    </xf>
    <xf numFmtId="166" fontId="21" fillId="28" borderId="6" xfId="0" applyNumberFormat="1" applyFont="1" applyFill="1" applyBorder="1" applyAlignment="1" applyProtection="1">
      <alignment horizontal="center" vertical="top"/>
      <protection hidden="1"/>
    </xf>
    <xf numFmtId="10" fontId="20" fillId="28" borderId="37" xfId="0" applyNumberFormat="1" applyFont="1" applyFill="1" applyBorder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1" fontId="32" fillId="28" borderId="35" xfId="0" applyNumberFormat="1" applyFont="1" applyFill="1" applyBorder="1" applyAlignment="1" applyProtection="1">
      <alignment horizontal="center" vertical="center"/>
      <protection hidden="1"/>
    </xf>
    <xf numFmtId="1" fontId="21" fillId="23" borderId="1" xfId="0" applyNumberFormat="1" applyFont="1" applyFill="1" applyBorder="1" applyAlignment="1" applyProtection="1">
      <alignment horizontal="right" vertical="center"/>
      <protection hidden="1"/>
    </xf>
    <xf numFmtId="10" fontId="21" fillId="7" borderId="36" xfId="0" applyNumberFormat="1" applyFont="1" applyFill="1" applyBorder="1" applyAlignment="1" applyProtection="1">
      <alignment horizontal="center"/>
      <protection hidden="1"/>
    </xf>
    <xf numFmtId="1" fontId="33" fillId="28" borderId="26" xfId="0" applyNumberFormat="1" applyFont="1" applyFill="1" applyBorder="1" applyAlignment="1" applyProtection="1">
      <alignment horizontal="center" vertical="top"/>
      <protection hidden="1"/>
    </xf>
    <xf numFmtId="166" fontId="80" fillId="28" borderId="26" xfId="0" applyNumberFormat="1" applyFont="1" applyFill="1" applyBorder="1" applyAlignment="1" applyProtection="1">
      <alignment horizontal="center" vertical="top"/>
      <protection hidden="1"/>
    </xf>
    <xf numFmtId="2" fontId="21" fillId="23" borderId="42" xfId="0" applyNumberFormat="1" applyFont="1" applyFill="1" applyBorder="1" applyAlignment="1" applyProtection="1">
      <alignment horizontal="center"/>
      <protection hidden="1"/>
    </xf>
    <xf numFmtId="1" fontId="32" fillId="28" borderId="39" xfId="0" applyNumberFormat="1" applyFont="1" applyFill="1" applyBorder="1" applyAlignment="1" applyProtection="1">
      <alignment horizontal="center" vertical="center"/>
      <protection hidden="1"/>
    </xf>
    <xf numFmtId="1" fontId="32" fillId="28" borderId="4" xfId="0" applyNumberFormat="1" applyFont="1" applyFill="1" applyBorder="1" applyAlignment="1" applyProtection="1">
      <alignment horizontal="center" vertical="top"/>
      <protection hidden="1"/>
    </xf>
    <xf numFmtId="166" fontId="80" fillId="28" borderId="4" xfId="0" applyNumberFormat="1" applyFont="1" applyFill="1" applyBorder="1" applyAlignment="1" applyProtection="1">
      <alignment horizontal="center" vertical="top"/>
      <protection hidden="1"/>
    </xf>
    <xf numFmtId="2" fontId="32" fillId="28" borderId="4" xfId="0" applyNumberFormat="1" applyFont="1" applyFill="1" applyBorder="1" applyAlignment="1" applyProtection="1">
      <alignment horizontal="center" vertical="top" wrapText="1"/>
      <protection hidden="1"/>
    </xf>
    <xf numFmtId="10" fontId="21" fillId="7" borderId="55" xfId="0" applyNumberFormat="1" applyFont="1" applyFill="1" applyBorder="1" applyAlignment="1" applyProtection="1">
      <alignment horizontal="center"/>
      <protection hidden="1"/>
    </xf>
    <xf numFmtId="1" fontId="32" fillId="28" borderId="37" xfId="0" applyNumberFormat="1" applyFont="1" applyFill="1" applyBorder="1" applyAlignment="1" applyProtection="1">
      <alignment horizontal="center" vertical="center"/>
      <protection hidden="1"/>
    </xf>
    <xf numFmtId="1" fontId="32" fillId="28" borderId="8" xfId="0" applyNumberFormat="1" applyFont="1" applyFill="1" applyBorder="1" applyAlignment="1" applyProtection="1">
      <alignment horizontal="center" vertical="top"/>
      <protection hidden="1"/>
    </xf>
    <xf numFmtId="166" fontId="80" fillId="28" borderId="8" xfId="0" applyNumberFormat="1" applyFont="1" applyFill="1" applyBorder="1" applyAlignment="1" applyProtection="1">
      <alignment horizontal="center" vertical="top"/>
      <protection hidden="1"/>
    </xf>
    <xf numFmtId="9" fontId="29" fillId="22" borderId="0" xfId="0" applyNumberFormat="1" applyFont="1" applyFill="1" applyBorder="1" applyAlignment="1" applyProtection="1">
      <protection hidden="1"/>
    </xf>
    <xf numFmtId="10" fontId="29" fillId="24" borderId="41" xfId="0" applyNumberFormat="1" applyFont="1" applyFill="1" applyBorder="1" applyProtection="1">
      <protection hidden="1"/>
    </xf>
    <xf numFmtId="10" fontId="29" fillId="26" borderId="6" xfId="0" applyNumberFormat="1" applyFont="1" applyFill="1" applyBorder="1" applyProtection="1">
      <protection hidden="1"/>
    </xf>
    <xf numFmtId="10" fontId="29" fillId="29" borderId="6" xfId="0" applyNumberFormat="1" applyFont="1" applyFill="1" applyBorder="1" applyProtection="1">
      <protection hidden="1"/>
    </xf>
    <xf numFmtId="0" fontId="46" fillId="0" borderId="0" xfId="1" applyFont="1" applyAlignment="1" applyProtection="1">
      <protection hidden="1"/>
    </xf>
    <xf numFmtId="0" fontId="24" fillId="0" borderId="0" xfId="0" applyFont="1" applyProtection="1">
      <protection hidden="1"/>
    </xf>
    <xf numFmtId="0" fontId="30" fillId="0" borderId="0" xfId="0" applyFont="1" applyProtection="1">
      <protection hidden="1"/>
    </xf>
    <xf numFmtId="0" fontId="12" fillId="0" borderId="0" xfId="1" applyAlignment="1" applyProtection="1"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left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protection hidden="1"/>
    </xf>
    <xf numFmtId="0" fontId="15" fillId="0" borderId="0" xfId="0" applyFont="1" applyProtection="1">
      <protection hidden="1"/>
    </xf>
    <xf numFmtId="0" fontId="29" fillId="22" borderId="0" xfId="0" applyFont="1" applyFill="1" applyBorder="1" applyAlignment="1" applyProtection="1">
      <protection hidden="1"/>
    </xf>
    <xf numFmtId="9" fontId="29" fillId="22" borderId="0" xfId="0" applyNumberFormat="1" applyFont="1" applyFill="1" applyBorder="1" applyAlignment="1" applyProtection="1">
      <alignment horizontal="center"/>
      <protection hidden="1"/>
    </xf>
    <xf numFmtId="0" fontId="19" fillId="0" borderId="9" xfId="0" applyFont="1" applyBorder="1" applyAlignment="1" applyProtection="1">
      <alignment horizontal="center"/>
      <protection hidden="1"/>
    </xf>
    <xf numFmtId="0" fontId="45" fillId="0" borderId="10" xfId="0" applyFont="1" applyBorder="1" applyAlignment="1" applyProtection="1">
      <alignment horizontal="center" vertical="center"/>
      <protection hidden="1"/>
    </xf>
    <xf numFmtId="0" fontId="19" fillId="0" borderId="10" xfId="0" applyFont="1" applyBorder="1" applyAlignment="1" applyProtection="1">
      <alignment horizontal="center" vertical="center"/>
      <protection hidden="1"/>
    </xf>
    <xf numFmtId="0" fontId="19" fillId="3" borderId="10" xfId="0" applyFont="1" applyFill="1" applyBorder="1" applyAlignment="1" applyProtection="1">
      <alignment horizontal="center" vertical="center"/>
      <protection hidden="1"/>
    </xf>
    <xf numFmtId="9" fontId="19" fillId="7" borderId="23" xfId="0" applyNumberFormat="1" applyFont="1" applyFill="1" applyBorder="1" applyAlignment="1" applyProtection="1">
      <alignment horizontal="center" vertical="center"/>
      <protection hidden="1"/>
    </xf>
    <xf numFmtId="9" fontId="19" fillId="5" borderId="32" xfId="0" applyNumberFormat="1" applyFont="1" applyFill="1" applyBorder="1" applyAlignment="1" applyProtection="1">
      <alignment horizontal="center" vertical="center"/>
      <protection hidden="1"/>
    </xf>
    <xf numFmtId="10" fontId="21" fillId="0" borderId="9" xfId="0" applyNumberFormat="1" applyFont="1" applyBorder="1" applyAlignment="1" applyProtection="1">
      <alignment horizontal="center" vertical="justify"/>
      <protection hidden="1"/>
    </xf>
    <xf numFmtId="10" fontId="21" fillId="0" borderId="25" xfId="0" applyNumberFormat="1" applyFont="1" applyBorder="1" applyAlignment="1" applyProtection="1">
      <alignment horizontal="center" vertical="justify"/>
      <protection hidden="1"/>
    </xf>
    <xf numFmtId="0" fontId="21" fillId="4" borderId="20" xfId="0" applyFont="1" applyFill="1" applyBorder="1" applyAlignment="1" applyProtection="1">
      <alignment vertical="justify"/>
      <protection hidden="1"/>
    </xf>
    <xf numFmtId="0" fontId="17" fillId="28" borderId="12" xfId="0" applyFont="1" applyFill="1" applyBorder="1" applyAlignment="1" applyProtection="1">
      <alignment horizontal="left" vertical="center"/>
      <protection hidden="1"/>
    </xf>
    <xf numFmtId="0" fontId="30" fillId="28" borderId="13" xfId="0" applyFont="1" applyFill="1" applyBorder="1" applyAlignment="1" applyProtection="1">
      <alignment horizontal="center" vertical="center"/>
      <protection hidden="1"/>
    </xf>
    <xf numFmtId="0" fontId="26" fillId="28" borderId="13" xfId="0" applyFont="1" applyFill="1" applyBorder="1" applyAlignment="1" applyProtection="1">
      <alignment horizontal="center"/>
      <protection hidden="1"/>
    </xf>
    <xf numFmtId="0" fontId="17" fillId="28" borderId="13" xfId="0" applyFont="1" applyFill="1" applyBorder="1" applyAlignment="1" applyProtection="1">
      <alignment horizontal="center" vertical="center"/>
      <protection hidden="1"/>
    </xf>
    <xf numFmtId="0" fontId="20" fillId="28" borderId="13" xfId="0" applyFont="1" applyFill="1" applyBorder="1" applyAlignment="1" applyProtection="1">
      <alignment horizontal="center"/>
      <protection hidden="1"/>
    </xf>
    <xf numFmtId="1" fontId="78" fillId="28" borderId="13" xfId="0" applyNumberFormat="1" applyFont="1" applyFill="1" applyBorder="1" applyAlignment="1" applyProtection="1">
      <alignment horizontal="center" vertical="center"/>
      <protection hidden="1"/>
    </xf>
    <xf numFmtId="1" fontId="17" fillId="28" borderId="33" xfId="0" applyNumberFormat="1" applyFont="1" applyFill="1" applyBorder="1" applyAlignment="1" applyProtection="1">
      <alignment horizontal="center" vertical="center"/>
      <protection hidden="1"/>
    </xf>
    <xf numFmtId="1" fontId="21" fillId="28" borderId="0" xfId="0" applyNumberFormat="1" applyFont="1" applyFill="1" applyAlignment="1" applyProtection="1">
      <alignment horizontal="center"/>
      <protection hidden="1"/>
    </xf>
    <xf numFmtId="2" fontId="20" fillId="28" borderId="0" xfId="0" applyNumberFormat="1" applyFont="1" applyFill="1" applyAlignment="1" applyProtection="1">
      <alignment horizontal="center"/>
      <protection hidden="1"/>
    </xf>
    <xf numFmtId="166" fontId="21" fillId="28" borderId="0" xfId="0" applyNumberFormat="1" applyFont="1" applyFill="1" applyAlignment="1" applyProtection="1">
      <alignment horizontal="center"/>
      <protection hidden="1"/>
    </xf>
    <xf numFmtId="10" fontId="21" fillId="28" borderId="12" xfId="0" applyNumberFormat="1" applyFont="1" applyFill="1" applyBorder="1" applyAlignment="1" applyProtection="1">
      <alignment horizontal="center" vertical="center"/>
      <protection hidden="1"/>
    </xf>
    <xf numFmtId="10" fontId="21" fillId="28" borderId="29" xfId="0" applyNumberFormat="1" applyFont="1" applyFill="1" applyBorder="1" applyAlignment="1" applyProtection="1">
      <alignment horizontal="center" vertical="center"/>
      <protection hidden="1"/>
    </xf>
    <xf numFmtId="2" fontId="21" fillId="28" borderId="13" xfId="0" applyNumberFormat="1" applyFont="1" applyFill="1" applyBorder="1" applyAlignment="1" applyProtection="1">
      <alignment horizontal="center"/>
      <protection hidden="1"/>
    </xf>
    <xf numFmtId="10" fontId="21" fillId="8" borderId="12" xfId="0" applyNumberFormat="1" applyFont="1" applyFill="1" applyBorder="1" applyAlignment="1" applyProtection="1">
      <alignment horizontal="center"/>
      <protection hidden="1"/>
    </xf>
    <xf numFmtId="10" fontId="16" fillId="5" borderId="13" xfId="0" applyNumberFormat="1" applyFont="1" applyFill="1" applyBorder="1" applyProtection="1">
      <protection hidden="1"/>
    </xf>
    <xf numFmtId="0" fontId="17" fillId="28" borderId="5" xfId="0" applyFont="1" applyFill="1" applyBorder="1" applyAlignment="1" applyProtection="1">
      <alignment horizontal="left" vertical="center"/>
      <protection hidden="1"/>
    </xf>
    <xf numFmtId="0" fontId="30" fillId="28" borderId="6" xfId="0" applyFont="1" applyFill="1" applyBorder="1" applyAlignment="1" applyProtection="1">
      <alignment horizontal="center" vertical="center"/>
      <protection hidden="1"/>
    </xf>
    <xf numFmtId="0" fontId="26" fillId="28" borderId="6" xfId="0" applyFont="1" applyFill="1" applyBorder="1" applyAlignment="1" applyProtection="1">
      <alignment horizontal="center"/>
      <protection hidden="1"/>
    </xf>
    <xf numFmtId="0" fontId="17" fillId="28" borderId="6" xfId="0" applyFont="1" applyFill="1" applyBorder="1" applyAlignment="1" applyProtection="1">
      <alignment horizontal="center" vertical="center"/>
      <protection hidden="1"/>
    </xf>
    <xf numFmtId="0" fontId="20" fillId="28" borderId="6" xfId="0" applyFont="1" applyFill="1" applyBorder="1" applyAlignment="1" applyProtection="1">
      <alignment horizontal="center"/>
      <protection hidden="1"/>
    </xf>
    <xf numFmtId="1" fontId="78" fillId="28" borderId="6" xfId="0" applyNumberFormat="1" applyFont="1" applyFill="1" applyBorder="1" applyAlignment="1" applyProtection="1">
      <alignment horizontal="center" vertical="center"/>
      <protection hidden="1"/>
    </xf>
    <xf numFmtId="1" fontId="17" fillId="28" borderId="34" xfId="0" applyNumberFormat="1" applyFont="1" applyFill="1" applyBorder="1" applyAlignment="1" applyProtection="1">
      <alignment horizontal="center" vertical="center"/>
      <protection hidden="1"/>
    </xf>
    <xf numFmtId="10" fontId="20" fillId="28" borderId="5" xfId="0" applyNumberFormat="1" applyFont="1" applyFill="1" applyBorder="1" applyAlignment="1" applyProtection="1">
      <alignment horizontal="center" vertical="center"/>
      <protection hidden="1"/>
    </xf>
    <xf numFmtId="10" fontId="20" fillId="28" borderId="29" xfId="0" applyNumberFormat="1" applyFont="1" applyFill="1" applyBorder="1" applyAlignment="1" applyProtection="1">
      <alignment horizontal="center" vertical="center"/>
      <protection hidden="1"/>
    </xf>
    <xf numFmtId="10" fontId="21" fillId="8" borderId="5" xfId="0" applyNumberFormat="1" applyFont="1" applyFill="1" applyBorder="1" applyAlignment="1" applyProtection="1">
      <alignment horizontal="center"/>
      <protection hidden="1"/>
    </xf>
    <xf numFmtId="4" fontId="16" fillId="4" borderId="13" xfId="0" applyNumberFormat="1" applyFont="1" applyFill="1" applyBorder="1" applyAlignment="1" applyProtection="1">
      <alignment horizontal="center"/>
      <protection hidden="1"/>
    </xf>
    <xf numFmtId="10" fontId="16" fillId="0" borderId="13" xfId="0" applyNumberFormat="1" applyFont="1" applyBorder="1" applyProtection="1">
      <protection hidden="1"/>
    </xf>
    <xf numFmtId="10" fontId="21" fillId="28" borderId="5" xfId="0" applyNumberFormat="1" applyFont="1" applyFill="1" applyBorder="1" applyAlignment="1" applyProtection="1">
      <alignment horizontal="center" vertical="center"/>
      <protection hidden="1"/>
    </xf>
    <xf numFmtId="0" fontId="17" fillId="28" borderId="7" xfId="0" applyFont="1" applyFill="1" applyBorder="1" applyAlignment="1" applyProtection="1">
      <alignment horizontal="left" vertical="center"/>
      <protection hidden="1"/>
    </xf>
    <xf numFmtId="0" fontId="30" fillId="28" borderId="8" xfId="0" applyFont="1" applyFill="1" applyBorder="1" applyAlignment="1" applyProtection="1">
      <alignment horizontal="center" vertical="center"/>
      <protection hidden="1"/>
    </xf>
    <xf numFmtId="0" fontId="26" fillId="28" borderId="8" xfId="0" applyFont="1" applyFill="1" applyBorder="1" applyAlignment="1" applyProtection="1">
      <alignment horizontal="center"/>
      <protection hidden="1"/>
    </xf>
    <xf numFmtId="0" fontId="17" fillId="28" borderId="8" xfId="0" applyFont="1" applyFill="1" applyBorder="1" applyAlignment="1" applyProtection="1">
      <alignment horizontal="center" vertical="center"/>
      <protection hidden="1"/>
    </xf>
    <xf numFmtId="0" fontId="20" fillId="28" borderId="8" xfId="0" applyFont="1" applyFill="1" applyBorder="1" applyAlignment="1" applyProtection="1">
      <alignment horizontal="center"/>
      <protection hidden="1"/>
    </xf>
    <xf numFmtId="1" fontId="78" fillId="28" borderId="8" xfId="0" applyNumberFormat="1" applyFont="1" applyFill="1" applyBorder="1" applyAlignment="1" applyProtection="1">
      <alignment horizontal="center" vertical="center"/>
      <protection hidden="1"/>
    </xf>
    <xf numFmtId="10" fontId="20" fillId="28" borderId="7" xfId="0" applyNumberFormat="1" applyFont="1" applyFill="1" applyBorder="1" applyAlignment="1" applyProtection="1">
      <alignment horizontal="center" vertical="center"/>
      <protection hidden="1"/>
    </xf>
    <xf numFmtId="10" fontId="20" fillId="28" borderId="31" xfId="0" applyNumberFormat="1" applyFont="1" applyFill="1" applyBorder="1" applyAlignment="1" applyProtection="1">
      <alignment horizontal="center" vertical="center"/>
      <protection hidden="1"/>
    </xf>
    <xf numFmtId="10" fontId="21" fillId="8" borderId="7" xfId="0" applyNumberFormat="1" applyFont="1" applyFill="1" applyBorder="1" applyAlignment="1" applyProtection="1">
      <alignment horizontal="center"/>
      <protection hidden="1"/>
    </xf>
    <xf numFmtId="10" fontId="77" fillId="12" borderId="6" xfId="0" applyNumberFormat="1" applyFont="1" applyFill="1" applyBorder="1" applyAlignment="1" applyProtection="1">
      <alignment horizontal="center"/>
      <protection hidden="1"/>
    </xf>
    <xf numFmtId="10" fontId="20" fillId="0" borderId="0" xfId="0" applyNumberFormat="1" applyFont="1" applyBorder="1" applyAlignment="1" applyProtection="1">
      <alignment horizontal="center"/>
      <protection hidden="1"/>
    </xf>
    <xf numFmtId="10" fontId="82" fillId="31" borderId="4" xfId="12" applyNumberFormat="1" applyFont="1" applyFill="1" applyBorder="1" applyAlignment="1" applyProtection="1">
      <alignment horizontal="center" vertical="center"/>
      <protection hidden="1"/>
    </xf>
    <xf numFmtId="10" fontId="82" fillId="31" borderId="0" xfId="12" applyNumberFormat="1" applyFont="1" applyFill="1" applyBorder="1" applyAlignment="1" applyProtection="1">
      <alignment horizontal="center" vertical="center"/>
      <protection hidden="1"/>
    </xf>
    <xf numFmtId="168" fontId="16" fillId="19" borderId="0" xfId="0" applyNumberFormat="1" applyFont="1" applyFill="1" applyProtection="1">
      <protection hidden="1"/>
    </xf>
    <xf numFmtId="10" fontId="82" fillId="31" borderId="6" xfId="12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protection hidden="1"/>
    </xf>
    <xf numFmtId="0" fontId="20" fillId="0" borderId="0" xfId="0" applyFont="1" applyAlignment="1" applyProtection="1">
      <alignment horizontal="center" vertical="center"/>
      <protection hidden="1"/>
    </xf>
    <xf numFmtId="10" fontId="82" fillId="31" borderId="8" xfId="12" applyNumberFormat="1" applyFont="1" applyFill="1" applyBorder="1" applyAlignment="1" applyProtection="1">
      <alignment horizontal="center" vertical="center"/>
      <protection hidden="1"/>
    </xf>
    <xf numFmtId="9" fontId="21" fillId="5" borderId="32" xfId="0" applyNumberFormat="1" applyFont="1" applyFill="1" applyBorder="1" applyAlignment="1" applyProtection="1">
      <alignment horizontal="center" vertical="center"/>
      <protection hidden="1"/>
    </xf>
    <xf numFmtId="1" fontId="21" fillId="23" borderId="53" xfId="0" applyNumberFormat="1" applyFont="1" applyFill="1" applyBorder="1" applyAlignment="1" applyProtection="1">
      <alignment horizontal="right" vertical="center"/>
      <protection hidden="1"/>
    </xf>
    <xf numFmtId="0" fontId="17" fillId="0" borderId="5" xfId="0" applyFont="1" applyBorder="1" applyAlignment="1" applyProtection="1">
      <alignment horizontal="left" vertical="center"/>
      <protection hidden="1"/>
    </xf>
    <xf numFmtId="0" fontId="34" fillId="0" borderId="6" xfId="0" applyFont="1" applyFill="1" applyBorder="1" applyAlignment="1" applyProtection="1">
      <alignment horizontal="center"/>
      <protection hidden="1"/>
    </xf>
    <xf numFmtId="0" fontId="20" fillId="0" borderId="13" xfId="0" applyFont="1" applyBorder="1" applyAlignment="1" applyProtection="1">
      <alignment horizontal="center"/>
      <protection hidden="1"/>
    </xf>
    <xf numFmtId="1" fontId="20" fillId="3" borderId="13" xfId="0" applyNumberFormat="1" applyFont="1" applyFill="1" applyBorder="1" applyAlignment="1" applyProtection="1">
      <alignment horizontal="center" vertical="center"/>
      <protection hidden="1"/>
    </xf>
    <xf numFmtId="1" fontId="21" fillId="5" borderId="33" xfId="0" applyNumberFormat="1" applyFont="1" applyFill="1" applyBorder="1" applyAlignment="1" applyProtection="1">
      <alignment horizontal="center" vertical="center"/>
      <protection hidden="1"/>
    </xf>
    <xf numFmtId="1" fontId="58" fillId="10" borderId="3" xfId="0" applyNumberFormat="1" applyFont="1" applyFill="1" applyBorder="1" applyAlignment="1" applyProtection="1">
      <alignment horizontal="center" vertical="top"/>
      <protection hidden="1"/>
    </xf>
    <xf numFmtId="1" fontId="86" fillId="10" borderId="4" xfId="0" applyNumberFormat="1" applyFont="1" applyFill="1" applyBorder="1" applyAlignment="1" applyProtection="1">
      <alignment horizontal="center" vertical="center"/>
      <protection hidden="1"/>
    </xf>
    <xf numFmtId="166" fontId="86" fillId="10" borderId="4" xfId="0" applyNumberFormat="1" applyFont="1" applyFill="1" applyBorder="1" applyAlignment="1" applyProtection="1">
      <alignment horizontal="center" vertical="center"/>
      <protection hidden="1"/>
    </xf>
    <xf numFmtId="2" fontId="32" fillId="10" borderId="13" xfId="0" applyNumberFormat="1" applyFont="1" applyFill="1" applyBorder="1" applyAlignment="1" applyProtection="1">
      <alignment horizontal="center" vertical="top" wrapText="1"/>
      <protection hidden="1"/>
    </xf>
    <xf numFmtId="10" fontId="21" fillId="10" borderId="21" xfId="0" applyNumberFormat="1" applyFont="1" applyFill="1" applyBorder="1" applyAlignment="1" applyProtection="1">
      <alignment horizontal="center"/>
      <protection hidden="1"/>
    </xf>
    <xf numFmtId="10" fontId="21" fillId="7" borderId="6" xfId="0" applyNumberFormat="1" applyFont="1" applyFill="1" applyBorder="1" applyAlignment="1" applyProtection="1">
      <alignment horizontal="center"/>
      <protection hidden="1"/>
    </xf>
    <xf numFmtId="166" fontId="21" fillId="10" borderId="29" xfId="0" applyNumberFormat="1" applyFont="1" applyFill="1" applyBorder="1" applyAlignment="1" applyProtection="1">
      <alignment horizontal="center" vertical="center"/>
      <protection hidden="1"/>
    </xf>
    <xf numFmtId="2" fontId="21" fillId="19" borderId="13" xfId="0" applyNumberFormat="1" applyFont="1" applyFill="1" applyBorder="1" applyAlignment="1" applyProtection="1">
      <alignment horizontal="center"/>
      <protection hidden="1"/>
    </xf>
    <xf numFmtId="0" fontId="20" fillId="0" borderId="6" xfId="0" applyFont="1" applyBorder="1" applyAlignment="1" applyProtection="1">
      <alignment horizontal="center"/>
      <protection hidden="1"/>
    </xf>
    <xf numFmtId="1" fontId="86" fillId="10" borderId="6" xfId="0" applyNumberFormat="1" applyFont="1" applyFill="1" applyBorder="1" applyAlignment="1" applyProtection="1">
      <alignment horizontal="center" vertical="center"/>
      <protection hidden="1"/>
    </xf>
    <xf numFmtId="166" fontId="86" fillId="10" borderId="6" xfId="0" applyNumberFormat="1" applyFont="1" applyFill="1" applyBorder="1" applyAlignment="1" applyProtection="1">
      <alignment horizontal="center" vertical="center"/>
      <protection hidden="1"/>
    </xf>
    <xf numFmtId="166" fontId="20" fillId="10" borderId="26" xfId="0" applyNumberFormat="1" applyFont="1" applyFill="1" applyBorder="1" applyAlignment="1" applyProtection="1">
      <alignment horizontal="center" vertical="center"/>
      <protection hidden="1"/>
    </xf>
    <xf numFmtId="166" fontId="21" fillId="10" borderId="26" xfId="0" applyNumberFormat="1" applyFont="1" applyFill="1" applyBorder="1" applyAlignment="1" applyProtection="1">
      <alignment horizontal="center" vertical="center"/>
      <protection hidden="1"/>
    </xf>
    <xf numFmtId="0" fontId="20" fillId="0" borderId="6" xfId="0" applyFont="1" applyFill="1" applyBorder="1" applyAlignment="1" applyProtection="1">
      <alignment horizontal="center"/>
      <protection hidden="1"/>
    </xf>
    <xf numFmtId="1" fontId="87" fillId="10" borderId="6" xfId="0" applyNumberFormat="1" applyFont="1" applyFill="1" applyBorder="1" applyAlignment="1" applyProtection="1">
      <alignment horizontal="center" vertical="center"/>
      <protection hidden="1"/>
    </xf>
    <xf numFmtId="166" fontId="87" fillId="10" borderId="6" xfId="0" applyNumberFormat="1" applyFont="1" applyFill="1" applyBorder="1" applyAlignment="1" applyProtection="1">
      <alignment horizontal="center" vertical="center"/>
      <protection hidden="1"/>
    </xf>
    <xf numFmtId="2" fontId="88" fillId="10" borderId="6" xfId="0" applyNumberFormat="1" applyFont="1" applyFill="1" applyBorder="1" applyAlignment="1" applyProtection="1">
      <alignment horizontal="center"/>
      <protection hidden="1"/>
    </xf>
    <xf numFmtId="0" fontId="17" fillId="0" borderId="7" xfId="0" applyFont="1" applyBorder="1" applyAlignment="1" applyProtection="1">
      <alignment horizontal="left" vertical="center"/>
      <protection hidden="1"/>
    </xf>
    <xf numFmtId="0" fontId="34" fillId="0" borderId="8" xfId="0" applyFont="1" applyFill="1" applyBorder="1" applyAlignment="1" applyProtection="1">
      <alignment horizontal="center"/>
      <protection hidden="1"/>
    </xf>
    <xf numFmtId="0" fontId="20" fillId="0" borderId="8" xfId="0" applyFont="1" applyFill="1" applyBorder="1" applyAlignment="1" applyProtection="1">
      <alignment horizontal="center"/>
      <protection hidden="1"/>
    </xf>
    <xf numFmtId="1" fontId="19" fillId="7" borderId="74" xfId="0" applyNumberFormat="1" applyFont="1" applyFill="1" applyBorder="1" applyAlignment="1" applyProtection="1">
      <alignment horizontal="center" vertical="center"/>
      <protection hidden="1"/>
    </xf>
    <xf numFmtId="1" fontId="87" fillId="10" borderId="8" xfId="0" applyNumberFormat="1" applyFont="1" applyFill="1" applyBorder="1" applyAlignment="1" applyProtection="1">
      <alignment horizontal="center" vertical="center"/>
      <protection hidden="1"/>
    </xf>
    <xf numFmtId="166" fontId="87" fillId="10" borderId="8" xfId="0" applyNumberFormat="1" applyFont="1" applyFill="1" applyBorder="1" applyAlignment="1" applyProtection="1">
      <alignment horizontal="center" vertical="center"/>
      <protection hidden="1"/>
    </xf>
    <xf numFmtId="2" fontId="88" fillId="10" borderId="8" xfId="0" applyNumberFormat="1" applyFont="1" applyFill="1" applyBorder="1" applyAlignment="1" applyProtection="1">
      <alignment horizontal="center"/>
      <protection hidden="1"/>
    </xf>
    <xf numFmtId="10" fontId="20" fillId="10" borderId="72" xfId="0" applyNumberFormat="1" applyFont="1" applyFill="1" applyBorder="1" applyAlignment="1" applyProtection="1">
      <alignment horizontal="center"/>
      <protection hidden="1"/>
    </xf>
    <xf numFmtId="166" fontId="20" fillId="10" borderId="30" xfId="0" applyNumberFormat="1" applyFont="1" applyFill="1" applyBorder="1" applyAlignment="1" applyProtection="1">
      <alignment horizontal="center" vertical="center"/>
      <protection hidden="1"/>
    </xf>
    <xf numFmtId="10" fontId="21" fillId="21" borderId="17" xfId="0" applyNumberFormat="1" applyFont="1" applyFill="1" applyBorder="1" applyAlignment="1" applyProtection="1">
      <alignment horizontal="center"/>
      <protection hidden="1"/>
    </xf>
    <xf numFmtId="10" fontId="21" fillId="21" borderId="16" xfId="0" applyNumberFormat="1" applyFont="1" applyFill="1" applyBorder="1" applyAlignment="1" applyProtection="1">
      <alignment horizontal="center"/>
      <protection hidden="1"/>
    </xf>
    <xf numFmtId="10" fontId="21" fillId="25" borderId="16" xfId="0" applyNumberFormat="1" applyFont="1" applyFill="1" applyBorder="1" applyAlignment="1" applyProtection="1">
      <alignment horizontal="center"/>
      <protection hidden="1"/>
    </xf>
    <xf numFmtId="10" fontId="21" fillId="24" borderId="41" xfId="0" applyNumberFormat="1" applyFont="1" applyFill="1" applyBorder="1" applyAlignment="1" applyProtection="1">
      <alignment horizontal="center" vertical="center"/>
      <protection hidden="1"/>
    </xf>
    <xf numFmtId="10" fontId="19" fillId="24" borderId="20" xfId="0" applyNumberFormat="1" applyFont="1" applyFill="1" applyBorder="1" applyAlignment="1" applyProtection="1">
      <alignment horizontal="center" vertical="center"/>
      <protection hidden="1"/>
    </xf>
    <xf numFmtId="10" fontId="89" fillId="25" borderId="10" xfId="0" applyNumberFormat="1" applyFont="1" applyFill="1" applyBorder="1" applyProtection="1">
      <protection hidden="1"/>
    </xf>
    <xf numFmtId="1" fontId="77" fillId="25" borderId="10" xfId="0" applyNumberFormat="1" applyFont="1" applyFill="1" applyBorder="1" applyAlignment="1" applyProtection="1">
      <alignment horizontal="right"/>
      <protection hidden="1"/>
    </xf>
    <xf numFmtId="10" fontId="89" fillId="25" borderId="10" xfId="0" applyNumberFormat="1" applyFont="1" applyFill="1" applyBorder="1" applyAlignment="1" applyProtection="1">
      <alignment horizontal="center"/>
      <protection hidden="1"/>
    </xf>
    <xf numFmtId="2" fontId="76" fillId="25" borderId="32" xfId="0" applyNumberFormat="1" applyFont="1" applyFill="1" applyBorder="1" applyAlignment="1" applyProtection="1">
      <alignment horizontal="center"/>
      <protection hidden="1"/>
    </xf>
    <xf numFmtId="10" fontId="64" fillId="7" borderId="6" xfId="0" applyNumberFormat="1" applyFont="1" applyFill="1" applyBorder="1" applyAlignment="1" applyProtection="1">
      <alignment horizontal="center"/>
      <protection hidden="1"/>
    </xf>
    <xf numFmtId="10" fontId="29" fillId="7" borderId="6" xfId="0" applyNumberFormat="1" applyFont="1" applyFill="1" applyBorder="1" applyAlignment="1" applyProtection="1">
      <alignment horizontal="center"/>
      <protection hidden="1"/>
    </xf>
    <xf numFmtId="10" fontId="29" fillId="7" borderId="0" xfId="0" applyNumberFormat="1" applyFont="1" applyFill="1" applyBorder="1" applyAlignment="1" applyProtection="1">
      <alignment horizontal="center"/>
      <protection hidden="1"/>
    </xf>
    <xf numFmtId="166" fontId="29" fillId="7" borderId="0" xfId="0" applyNumberFormat="1" applyFont="1" applyFill="1" applyBorder="1" applyAlignment="1" applyProtection="1">
      <alignment horizontal="center"/>
      <protection hidden="1"/>
    </xf>
    <xf numFmtId="0" fontId="55" fillId="0" borderId="0" xfId="0" applyFont="1" applyBorder="1" applyAlignment="1" applyProtection="1">
      <protection hidden="1"/>
    </xf>
    <xf numFmtId="0" fontId="77" fillId="4" borderId="0" xfId="0" applyFont="1" applyFill="1" applyBorder="1" applyAlignment="1" applyProtection="1">
      <alignment horizontal="center" vertical="justify"/>
      <protection hidden="1"/>
    </xf>
    <xf numFmtId="0" fontId="78" fillId="4" borderId="0" xfId="0" applyFont="1" applyFill="1" applyBorder="1" applyAlignment="1" applyProtection="1">
      <alignment horizontal="center" vertical="justify"/>
      <protection hidden="1"/>
    </xf>
    <xf numFmtId="0" fontId="78" fillId="4" borderId="0" xfId="0" applyFont="1" applyFill="1" applyBorder="1" applyAlignment="1" applyProtection="1">
      <alignment horizontal="center" vertical="center"/>
      <protection hidden="1"/>
    </xf>
    <xf numFmtId="0" fontId="77" fillId="4" borderId="0" xfId="0" applyFont="1" applyFill="1" applyBorder="1" applyAlignment="1" applyProtection="1">
      <alignment horizontal="center" vertical="center"/>
      <protection hidden="1"/>
    </xf>
    <xf numFmtId="1" fontId="80" fillId="0" borderId="0" xfId="0" applyNumberFormat="1" applyFont="1" applyBorder="1" applyAlignment="1" applyProtection="1">
      <alignment horizontal="center" vertical="justify"/>
      <protection hidden="1"/>
    </xf>
    <xf numFmtId="10" fontId="29" fillId="7" borderId="0" xfId="0" applyNumberFormat="1" applyFont="1" applyFill="1" applyProtection="1">
      <protection hidden="1"/>
    </xf>
    <xf numFmtId="10" fontId="29" fillId="7" borderId="6" xfId="0" applyNumberFormat="1" applyFont="1" applyFill="1" applyBorder="1" applyProtection="1">
      <protection hidden="1"/>
    </xf>
    <xf numFmtId="166" fontId="29" fillId="7" borderId="0" xfId="0" applyNumberFormat="1" applyFont="1" applyFill="1" applyProtection="1">
      <protection hidden="1"/>
    </xf>
    <xf numFmtId="0" fontId="77" fillId="4" borderId="0" xfId="0" applyNumberFormat="1" applyFont="1" applyFill="1" applyBorder="1" applyAlignment="1" applyProtection="1">
      <alignment horizontal="center" vertical="center"/>
      <protection hidden="1"/>
    </xf>
    <xf numFmtId="0" fontId="90" fillId="0" borderId="0" xfId="0" applyFont="1" applyAlignment="1" applyProtection="1">
      <alignment horizontal="center"/>
      <protection hidden="1"/>
    </xf>
    <xf numFmtId="3" fontId="29" fillId="27" borderId="9" xfId="0" applyNumberFormat="1" applyFont="1" applyFill="1" applyBorder="1" applyProtection="1">
      <protection hidden="1"/>
    </xf>
    <xf numFmtId="4" fontId="29" fillId="27" borderId="10" xfId="0" applyNumberFormat="1" applyFont="1" applyFill="1" applyBorder="1" applyProtection="1">
      <protection hidden="1"/>
    </xf>
    <xf numFmtId="10" fontId="16" fillId="27" borderId="10" xfId="0" applyNumberFormat="1" applyFont="1" applyFill="1" applyBorder="1" applyProtection="1">
      <protection hidden="1"/>
    </xf>
    <xf numFmtId="10" fontId="29" fillId="27" borderId="10" xfId="0" applyNumberFormat="1" applyFont="1" applyFill="1" applyBorder="1" applyAlignment="1" applyProtection="1">
      <alignment horizontal="center"/>
      <protection hidden="1"/>
    </xf>
    <xf numFmtId="10" fontId="29" fillId="27" borderId="32" xfId="0" applyNumberFormat="1" applyFont="1" applyFill="1" applyBorder="1" applyAlignment="1" applyProtection="1">
      <alignment horizontal="center"/>
      <protection hidden="1"/>
    </xf>
    <xf numFmtId="0" fontId="91" fillId="0" borderId="0" xfId="1" applyFont="1" applyAlignment="1" applyProtection="1">
      <protection hidden="1"/>
    </xf>
    <xf numFmtId="0" fontId="91" fillId="0" borderId="0" xfId="1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18" fillId="0" borderId="0" xfId="0" applyFont="1" applyAlignment="1" applyProtection="1">
      <alignment vertical="center"/>
      <protection hidden="1"/>
    </xf>
    <xf numFmtId="0" fontId="21" fillId="0" borderId="0" xfId="0" applyNumberFormat="1" applyFont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21" fillId="0" borderId="25" xfId="0" applyFont="1" applyBorder="1" applyAlignment="1" applyProtection="1">
      <alignment horizontal="center" vertical="justify"/>
      <protection hidden="1"/>
    </xf>
    <xf numFmtId="0" fontId="20" fillId="0" borderId="9" xfId="0" applyFont="1" applyBorder="1" applyAlignment="1" applyProtection="1">
      <alignment horizontal="center" vertical="center"/>
      <protection hidden="1"/>
    </xf>
    <xf numFmtId="0" fontId="20" fillId="0" borderId="10" xfId="0" applyFont="1" applyBorder="1" applyAlignment="1" applyProtection="1">
      <alignment horizontal="center" vertical="center"/>
      <protection hidden="1"/>
    </xf>
    <xf numFmtId="1" fontId="20" fillId="0" borderId="10" xfId="0" applyNumberFormat="1" applyFont="1" applyBorder="1" applyAlignment="1" applyProtection="1">
      <alignment horizontal="center" vertical="center"/>
      <protection hidden="1"/>
    </xf>
    <xf numFmtId="1" fontId="20" fillId="3" borderId="10" xfId="0" applyNumberFormat="1" applyFont="1" applyFill="1" applyBorder="1" applyAlignment="1" applyProtection="1">
      <alignment horizontal="center" vertical="center"/>
      <protection hidden="1"/>
    </xf>
    <xf numFmtId="1" fontId="58" fillId="10" borderId="9" xfId="0" applyNumberFormat="1" applyFont="1" applyFill="1" applyBorder="1" applyAlignment="1" applyProtection="1">
      <alignment horizontal="center" vertical="top"/>
      <protection hidden="1"/>
    </xf>
    <xf numFmtId="1" fontId="33" fillId="10" borderId="10" xfId="0" applyNumberFormat="1" applyFont="1" applyFill="1" applyBorder="1" applyAlignment="1" applyProtection="1">
      <alignment horizontal="center" vertical="top"/>
      <protection hidden="1"/>
    </xf>
    <xf numFmtId="166" fontId="20" fillId="10" borderId="10" xfId="0" applyNumberFormat="1" applyFont="1" applyFill="1" applyBorder="1" applyAlignment="1" applyProtection="1">
      <alignment horizontal="center" vertical="top"/>
      <protection hidden="1"/>
    </xf>
    <xf numFmtId="2" fontId="32" fillId="10" borderId="10" xfId="0" applyNumberFormat="1" applyFont="1" applyFill="1" applyBorder="1" applyAlignment="1" applyProtection="1">
      <alignment horizontal="center" vertical="top" wrapText="1"/>
      <protection hidden="1"/>
    </xf>
    <xf numFmtId="10" fontId="20" fillId="10" borderId="23" xfId="0" applyNumberFormat="1" applyFont="1" applyFill="1" applyBorder="1" applyAlignment="1" applyProtection="1">
      <alignment horizontal="center"/>
      <protection hidden="1"/>
    </xf>
    <xf numFmtId="166" fontId="20" fillId="10" borderId="26" xfId="0" applyNumberFormat="1" applyFont="1" applyFill="1" applyBorder="1" applyAlignment="1" applyProtection="1">
      <alignment horizontal="center" vertical="top"/>
      <protection hidden="1"/>
    </xf>
    <xf numFmtId="1" fontId="20" fillId="7" borderId="10" xfId="0" applyNumberFormat="1" applyFont="1" applyFill="1" applyBorder="1" applyAlignment="1" applyProtection="1">
      <alignment horizontal="center" vertical="center"/>
      <protection hidden="1"/>
    </xf>
    <xf numFmtId="2" fontId="21" fillId="5" borderId="32" xfId="0" applyNumberFormat="1" applyFont="1" applyFill="1" applyBorder="1" applyAlignment="1" applyProtection="1">
      <alignment horizontal="center" vertical="center"/>
      <protection hidden="1"/>
    </xf>
    <xf numFmtId="2" fontId="32" fillId="10" borderId="6" xfId="0" applyNumberFormat="1" applyFont="1" applyFill="1" applyBorder="1" applyAlignment="1" applyProtection="1">
      <alignment horizontal="center" vertical="top" wrapText="1"/>
      <protection hidden="1"/>
    </xf>
    <xf numFmtId="166" fontId="33" fillId="10" borderId="30" xfId="0" applyNumberFormat="1" applyFont="1" applyFill="1" applyBorder="1" applyAlignment="1" applyProtection="1">
      <alignment horizontal="center" vertical="top"/>
      <protection hidden="1"/>
    </xf>
    <xf numFmtId="2" fontId="32" fillId="10" borderId="8" xfId="0" applyNumberFormat="1" applyFont="1" applyFill="1" applyBorder="1" applyAlignment="1" applyProtection="1">
      <alignment horizontal="center" vertical="top" wrapText="1"/>
      <protection hidden="1"/>
    </xf>
    <xf numFmtId="10" fontId="21" fillId="25" borderId="6" xfId="0" applyNumberFormat="1" applyFont="1" applyFill="1" applyBorder="1" applyAlignment="1" applyProtection="1">
      <alignment horizontal="center"/>
      <protection hidden="1"/>
    </xf>
    <xf numFmtId="10" fontId="29" fillId="4" borderId="41" xfId="0" applyNumberFormat="1" applyFont="1" applyFill="1" applyBorder="1" applyAlignment="1" applyProtection="1">
      <alignment horizontal="center"/>
      <protection hidden="1"/>
    </xf>
    <xf numFmtId="166" fontId="29" fillId="4" borderId="0" xfId="0" applyNumberFormat="1" applyFont="1" applyFill="1" applyBorder="1" applyAlignment="1" applyProtection="1">
      <alignment horizontal="center"/>
      <protection hidden="1"/>
    </xf>
    <xf numFmtId="10" fontId="29" fillId="4" borderId="0" xfId="0" applyNumberFormat="1" applyFont="1" applyFill="1" applyBorder="1" applyAlignment="1" applyProtection="1">
      <alignment horizontal="center"/>
      <protection hidden="1"/>
    </xf>
    <xf numFmtId="10" fontId="21" fillId="7" borderId="51" xfId="0" applyNumberFormat="1" applyFont="1" applyFill="1" applyBorder="1" applyAlignment="1" applyProtection="1">
      <alignment horizontal="center"/>
      <protection hidden="1"/>
    </xf>
    <xf numFmtId="1" fontId="58" fillId="10" borderId="9" xfId="0" applyNumberFormat="1" applyFont="1" applyFill="1" applyBorder="1" applyAlignment="1" applyProtection="1">
      <alignment horizontal="center" vertical="center"/>
      <protection hidden="1"/>
    </xf>
    <xf numFmtId="10" fontId="20" fillId="10" borderId="32" xfId="0" applyNumberFormat="1" applyFont="1" applyFill="1" applyBorder="1" applyAlignment="1" applyProtection="1">
      <alignment horizontal="center" vertical="top"/>
      <protection hidden="1"/>
    </xf>
    <xf numFmtId="10" fontId="20" fillId="7" borderId="41" xfId="0" applyNumberFormat="1" applyFont="1" applyFill="1" applyBorder="1" applyAlignment="1" applyProtection="1">
      <alignment horizontal="center" vertical="top"/>
      <protection hidden="1"/>
    </xf>
    <xf numFmtId="2" fontId="21" fillId="10" borderId="17" xfId="0" applyNumberFormat="1" applyFont="1" applyFill="1" applyBorder="1" applyAlignment="1" applyProtection="1">
      <alignment horizontal="center"/>
      <protection hidden="1"/>
    </xf>
    <xf numFmtId="10" fontId="21" fillId="10" borderId="73" xfId="0" applyNumberFormat="1" applyFont="1" applyFill="1" applyBorder="1" applyAlignment="1" applyProtection="1">
      <alignment horizontal="center"/>
      <protection hidden="1"/>
    </xf>
    <xf numFmtId="1" fontId="76" fillId="4" borderId="0" xfId="0" applyNumberFormat="1" applyFont="1" applyFill="1" applyBorder="1" applyAlignment="1" applyProtection="1">
      <alignment horizontal="center" vertical="top"/>
      <protection hidden="1"/>
    </xf>
    <xf numFmtId="1" fontId="33" fillId="4" borderId="0" xfId="0" applyNumberFormat="1" applyFont="1" applyFill="1" applyBorder="1" applyAlignment="1" applyProtection="1">
      <alignment horizontal="center" vertical="top"/>
      <protection hidden="1"/>
    </xf>
    <xf numFmtId="166" fontId="20" fillId="4" borderId="0" xfId="0" applyNumberFormat="1" applyFont="1" applyFill="1" applyBorder="1" applyAlignment="1" applyProtection="1">
      <alignment horizontal="center" vertical="top"/>
      <protection hidden="1"/>
    </xf>
    <xf numFmtId="2" fontId="32" fillId="4" borderId="0" xfId="0" applyNumberFormat="1" applyFont="1" applyFill="1" applyBorder="1" applyAlignment="1" applyProtection="1">
      <alignment horizontal="center" vertical="top" wrapText="1"/>
      <protection hidden="1"/>
    </xf>
    <xf numFmtId="10" fontId="20" fillId="4" borderId="0" xfId="0" applyNumberFormat="1" applyFont="1" applyFill="1" applyBorder="1" applyAlignment="1" applyProtection="1">
      <alignment horizontal="center" vertical="top"/>
      <protection hidden="1"/>
    </xf>
    <xf numFmtId="0" fontId="30" fillId="0" borderId="0" xfId="0" applyFont="1" applyBorder="1" applyAlignment="1" applyProtection="1">
      <alignment horizontal="center" vertical="center"/>
      <protection hidden="1"/>
    </xf>
    <xf numFmtId="1" fontId="17" fillId="0" borderId="0" xfId="0" applyNumberFormat="1" applyFont="1" applyFill="1" applyBorder="1" applyAlignment="1" applyProtection="1">
      <alignment horizontal="center" vertical="center"/>
      <protection hidden="1"/>
    </xf>
    <xf numFmtId="1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NumberFormat="1" applyFont="1" applyFill="1" applyBorder="1" applyAlignment="1" applyProtection="1">
      <alignment horizontal="center"/>
      <protection hidden="1"/>
    </xf>
    <xf numFmtId="9" fontId="19" fillId="5" borderId="24" xfId="0" applyNumberFormat="1" applyFont="1" applyFill="1" applyBorder="1" applyAlignment="1" applyProtection="1">
      <alignment horizontal="center" vertical="center"/>
      <protection hidden="1"/>
    </xf>
    <xf numFmtId="0" fontId="30" fillId="0" borderId="9" xfId="0" applyFont="1" applyBorder="1" applyAlignment="1" applyProtection="1">
      <alignment horizontal="center" vertical="center"/>
      <protection hidden="1"/>
    </xf>
    <xf numFmtId="0" fontId="30" fillId="0" borderId="8" xfId="0" applyFont="1" applyBorder="1" applyAlignment="1" applyProtection="1">
      <alignment horizontal="center" vertical="center"/>
      <protection hidden="1"/>
    </xf>
    <xf numFmtId="1" fontId="17" fillId="0" borderId="8" xfId="0" applyNumberFormat="1" applyFont="1" applyBorder="1" applyAlignment="1" applyProtection="1">
      <alignment horizontal="center" vertical="center"/>
      <protection hidden="1"/>
    </xf>
    <xf numFmtId="0" fontId="17" fillId="0" borderId="8" xfId="0" applyFont="1" applyBorder="1" applyAlignment="1" applyProtection="1">
      <alignment horizontal="center" vertical="center"/>
      <protection hidden="1"/>
    </xf>
    <xf numFmtId="1" fontId="93" fillId="19" borderId="8" xfId="0" applyNumberFormat="1" applyFont="1" applyFill="1" applyBorder="1" applyAlignment="1" applyProtection="1">
      <alignment horizontal="center" vertical="center"/>
      <protection hidden="1"/>
    </xf>
    <xf numFmtId="1" fontId="17" fillId="5" borderId="32" xfId="0" applyNumberFormat="1" applyFont="1" applyFill="1" applyBorder="1" applyAlignment="1" applyProtection="1">
      <alignment horizontal="center" vertical="center"/>
      <protection hidden="1"/>
    </xf>
    <xf numFmtId="10" fontId="20" fillId="10" borderId="23" xfId="0" applyNumberFormat="1" applyFont="1" applyFill="1" applyBorder="1" applyAlignment="1" applyProtection="1">
      <alignment horizontal="center" vertical="top"/>
      <protection hidden="1"/>
    </xf>
    <xf numFmtId="10" fontId="20" fillId="7" borderId="6" xfId="0" applyNumberFormat="1" applyFont="1" applyFill="1" applyBorder="1" applyAlignment="1" applyProtection="1">
      <alignment horizontal="center" vertical="top"/>
      <protection hidden="1"/>
    </xf>
    <xf numFmtId="1" fontId="17" fillId="0" borderId="0" xfId="0" applyNumberFormat="1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45" fillId="0" borderId="0" xfId="0" applyFont="1" applyProtection="1">
      <protection hidden="1"/>
    </xf>
    <xf numFmtId="0" fontId="19" fillId="0" borderId="1" xfId="0" applyFont="1" applyBorder="1" applyAlignment="1" applyProtection="1">
      <alignment horizontal="center"/>
      <protection hidden="1"/>
    </xf>
    <xf numFmtId="0" fontId="45" fillId="0" borderId="2" xfId="0" applyFont="1" applyBorder="1" applyAlignment="1" applyProtection="1">
      <alignment horizontal="center" vertical="center"/>
      <protection hidden="1"/>
    </xf>
    <xf numFmtId="0" fontId="19" fillId="0" borderId="2" xfId="0" applyFont="1" applyBorder="1" applyAlignment="1" applyProtection="1">
      <alignment horizontal="center" vertical="center"/>
      <protection hidden="1"/>
    </xf>
    <xf numFmtId="0" fontId="21" fillId="0" borderId="21" xfId="0" applyFont="1" applyBorder="1" applyAlignment="1" applyProtection="1">
      <alignment horizontal="center" vertical="center"/>
      <protection hidden="1"/>
    </xf>
    <xf numFmtId="0" fontId="19" fillId="3" borderId="1" xfId="0" applyFont="1" applyFill="1" applyBorder="1" applyAlignment="1" applyProtection="1">
      <alignment horizontal="center" vertical="center"/>
      <protection hidden="1"/>
    </xf>
    <xf numFmtId="1" fontId="17" fillId="0" borderId="6" xfId="0" applyNumberFormat="1" applyFont="1" applyBorder="1" applyAlignment="1" applyProtection="1">
      <alignment horizontal="center" vertical="center"/>
      <protection hidden="1"/>
    </xf>
    <xf numFmtId="1" fontId="17" fillId="3" borderId="6" xfId="0" applyNumberFormat="1" applyFont="1" applyFill="1" applyBorder="1" applyAlignment="1" applyProtection="1">
      <alignment horizontal="center" vertical="center"/>
      <protection hidden="1"/>
    </xf>
    <xf numFmtId="1" fontId="17" fillId="5" borderId="6" xfId="0" applyNumberFormat="1" applyFont="1" applyFill="1" applyBorder="1" applyAlignment="1" applyProtection="1">
      <alignment horizontal="center" vertical="center"/>
      <protection hidden="1"/>
    </xf>
    <xf numFmtId="1" fontId="58" fillId="10" borderId="3" xfId="0" applyNumberFormat="1" applyFont="1" applyFill="1" applyBorder="1" applyAlignment="1" applyProtection="1">
      <alignment horizontal="center" vertical="center"/>
      <protection hidden="1"/>
    </xf>
    <xf numFmtId="1" fontId="33" fillId="10" borderId="4" xfId="0" applyNumberFormat="1" applyFont="1" applyFill="1" applyBorder="1" applyAlignment="1" applyProtection="1">
      <alignment horizontal="center" vertical="top"/>
      <protection hidden="1"/>
    </xf>
    <xf numFmtId="166" fontId="33" fillId="10" borderId="4" xfId="0" applyNumberFormat="1" applyFont="1" applyFill="1" applyBorder="1" applyAlignment="1" applyProtection="1">
      <alignment horizontal="center" vertical="top"/>
      <protection hidden="1"/>
    </xf>
    <xf numFmtId="10" fontId="20" fillId="10" borderId="21" xfId="0" applyNumberFormat="1" applyFont="1" applyFill="1" applyBorder="1" applyAlignment="1" applyProtection="1">
      <alignment horizontal="center"/>
      <protection hidden="1"/>
    </xf>
    <xf numFmtId="10" fontId="16" fillId="4" borderId="13" xfId="0" applyNumberFormat="1" applyFont="1" applyFill="1" applyBorder="1" applyProtection="1">
      <protection hidden="1"/>
    </xf>
    <xf numFmtId="0" fontId="17" fillId="0" borderId="6" xfId="0" applyFont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alignment horizontal="center"/>
      <protection hidden="1"/>
    </xf>
    <xf numFmtId="1" fontId="17" fillId="4" borderId="0" xfId="0" applyNumberFormat="1" applyFont="1" applyFill="1" applyBorder="1" applyAlignment="1" applyProtection="1">
      <alignment horizontal="center" vertical="center"/>
      <protection hidden="1"/>
    </xf>
    <xf numFmtId="1" fontId="33" fillId="4" borderId="0" xfId="0" applyNumberFormat="1" applyFont="1" applyFill="1" applyBorder="1" applyAlignment="1" applyProtection="1">
      <alignment horizontal="right" vertical="top"/>
      <protection hidden="1"/>
    </xf>
    <xf numFmtId="166" fontId="76" fillId="4" borderId="0" xfId="0" applyNumberFormat="1" applyFont="1" applyFill="1" applyBorder="1" applyAlignment="1" applyProtection="1">
      <alignment horizontal="center" vertical="top"/>
      <protection hidden="1"/>
    </xf>
    <xf numFmtId="10" fontId="20" fillId="4" borderId="0" xfId="0" applyNumberFormat="1" applyFont="1" applyFill="1" applyBorder="1" applyAlignment="1" applyProtection="1">
      <alignment horizontal="center"/>
      <protection hidden="1"/>
    </xf>
    <xf numFmtId="10" fontId="21" fillId="7" borderId="0" xfId="0" applyNumberFormat="1" applyFont="1" applyFill="1" applyBorder="1" applyAlignment="1" applyProtection="1">
      <alignment horizontal="center"/>
      <protection hidden="1"/>
    </xf>
    <xf numFmtId="166" fontId="20" fillId="4" borderId="0" xfId="0" applyNumberFormat="1" applyFont="1" applyFill="1" applyBorder="1" applyAlignment="1" applyProtection="1">
      <alignment horizontal="center" vertical="center"/>
      <protection hidden="1"/>
    </xf>
    <xf numFmtId="2" fontId="21" fillId="4" borderId="0" xfId="0" applyNumberFormat="1" applyFont="1" applyFill="1" applyBorder="1" applyAlignment="1" applyProtection="1">
      <alignment horizontal="center"/>
      <protection hidden="1"/>
    </xf>
    <xf numFmtId="10" fontId="21" fillId="4" borderId="57" xfId="0" applyNumberFormat="1" applyFont="1" applyFill="1" applyBorder="1" applyAlignment="1" applyProtection="1">
      <alignment horizontal="center"/>
      <protection hidden="1"/>
    </xf>
    <xf numFmtId="3" fontId="29" fillId="0" borderId="16" xfId="0" applyNumberFormat="1" applyFont="1" applyBorder="1" applyAlignment="1" applyProtection="1">
      <alignment horizontal="center"/>
      <protection hidden="1"/>
    </xf>
    <xf numFmtId="4" fontId="29" fillId="4" borderId="16" xfId="0" applyNumberFormat="1" applyFont="1" applyFill="1" applyBorder="1" applyAlignment="1" applyProtection="1">
      <alignment horizontal="center"/>
      <protection hidden="1"/>
    </xf>
    <xf numFmtId="10" fontId="16" fillId="0" borderId="16" xfId="0" applyNumberFormat="1" applyFont="1" applyBorder="1" applyProtection="1">
      <protection hidden="1"/>
    </xf>
    <xf numFmtId="10" fontId="29" fillId="27" borderId="16" xfId="0" applyNumberFormat="1" applyFont="1" applyFill="1" applyBorder="1" applyAlignment="1" applyProtection="1">
      <alignment horizontal="center"/>
      <protection hidden="1"/>
    </xf>
    <xf numFmtId="10" fontId="29" fillId="21" borderId="0" xfId="0" applyNumberFormat="1" applyFont="1" applyFill="1" applyAlignment="1" applyProtection="1">
      <alignment horizontal="center"/>
      <protection hidden="1"/>
    </xf>
    <xf numFmtId="1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NumberFormat="1" applyFont="1" applyFill="1" applyBorder="1" applyAlignment="1" applyProtection="1">
      <alignment horizontal="center" vertical="center"/>
      <protection hidden="1"/>
    </xf>
    <xf numFmtId="10" fontId="28" fillId="7" borderId="41" xfId="0" applyNumberFormat="1" applyFont="1" applyFill="1" applyBorder="1" applyAlignment="1" applyProtection="1">
      <alignment horizontal="center"/>
      <protection hidden="1"/>
    </xf>
    <xf numFmtId="10" fontId="29" fillId="24" borderId="52" xfId="0" applyNumberFormat="1" applyFont="1" applyFill="1" applyBorder="1" applyProtection="1">
      <protection hidden="1"/>
    </xf>
    <xf numFmtId="10" fontId="28" fillId="7" borderId="51" xfId="0" applyNumberFormat="1" applyFont="1" applyFill="1" applyBorder="1" applyProtection="1">
      <protection hidden="1"/>
    </xf>
    <xf numFmtId="10" fontId="29" fillId="29" borderId="0" xfId="0" applyNumberFormat="1" applyFont="1" applyFill="1" applyProtection="1">
      <protection hidden="1"/>
    </xf>
    <xf numFmtId="166" fontId="29" fillId="29" borderId="0" xfId="0" applyNumberFormat="1" applyFont="1" applyFill="1" applyProtection="1">
      <protection hidden="1"/>
    </xf>
    <xf numFmtId="0" fontId="41" fillId="0" borderId="0" xfId="1" applyFont="1" applyAlignment="1" applyProtection="1">
      <protection hidden="1"/>
    </xf>
    <xf numFmtId="0" fontId="60" fillId="0" borderId="0" xfId="0" applyFont="1" applyProtection="1">
      <protection hidden="1"/>
    </xf>
    <xf numFmtId="0" fontId="24" fillId="0" borderId="0" xfId="0" applyFont="1" applyAlignment="1" applyProtection="1">
      <alignment horizontal="center"/>
      <protection hidden="1"/>
    </xf>
    <xf numFmtId="166" fontId="24" fillId="0" borderId="0" xfId="0" applyNumberFormat="1" applyFont="1" applyProtection="1">
      <protection hidden="1"/>
    </xf>
    <xf numFmtId="10" fontId="70" fillId="26" borderId="0" xfId="0" applyNumberFormat="1" applyFont="1" applyFill="1" applyProtection="1">
      <protection hidden="1"/>
    </xf>
    <xf numFmtId="3" fontId="70" fillId="27" borderId="0" xfId="0" applyNumberFormat="1" applyFont="1" applyFill="1" applyProtection="1">
      <protection hidden="1"/>
    </xf>
    <xf numFmtId="4" fontId="70" fillId="27" borderId="0" xfId="0" applyNumberFormat="1" applyFont="1" applyFill="1" applyProtection="1">
      <protection hidden="1"/>
    </xf>
    <xf numFmtId="10" fontId="24" fillId="27" borderId="0" xfId="0" applyNumberFormat="1" applyFont="1" applyFill="1" applyProtection="1">
      <protection hidden="1"/>
    </xf>
    <xf numFmtId="10" fontId="70" fillId="27" borderId="0" xfId="0" applyNumberFormat="1" applyFont="1" applyFill="1" applyAlignment="1" applyProtection="1">
      <alignment horizontal="center"/>
      <protection hidden="1"/>
    </xf>
    <xf numFmtId="10" fontId="70" fillId="21" borderId="41" xfId="0" applyNumberFormat="1" applyFont="1" applyFill="1" applyBorder="1" applyProtection="1">
      <protection hidden="1"/>
    </xf>
    <xf numFmtId="2" fontId="94" fillId="0" borderId="6" xfId="0" applyNumberFormat="1" applyFont="1" applyFill="1" applyBorder="1" applyAlignment="1" applyProtection="1">
      <alignment horizontal="center" vertical="center"/>
      <protection hidden="1"/>
    </xf>
    <xf numFmtId="2" fontId="94" fillId="0" borderId="0" xfId="0" applyNumberFormat="1" applyFont="1" applyFill="1" applyBorder="1" applyAlignment="1" applyProtection="1">
      <alignment horizontal="center" vertical="center"/>
      <protection hidden="1"/>
    </xf>
    <xf numFmtId="0" fontId="16" fillId="19" borderId="0" xfId="0" applyFont="1" applyFill="1" applyAlignment="1" applyProtection="1">
      <alignment horizontal="center"/>
      <protection hidden="1"/>
    </xf>
    <xf numFmtId="166" fontId="21" fillId="0" borderId="0" xfId="0" applyNumberFormat="1" applyFont="1" applyAlignment="1" applyProtection="1">
      <alignment horizontal="center"/>
      <protection hidden="1"/>
    </xf>
    <xf numFmtId="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protection hidden="1"/>
    </xf>
    <xf numFmtId="1" fontId="21" fillId="23" borderId="10" xfId="0" applyNumberFormat="1" applyFont="1" applyFill="1" applyBorder="1" applyAlignment="1" applyProtection="1">
      <alignment horizontal="center" vertical="center"/>
      <protection hidden="1"/>
    </xf>
    <xf numFmtId="166" fontId="21" fillId="23" borderId="10" xfId="0" applyNumberFormat="1" applyFont="1" applyFill="1" applyBorder="1" applyAlignment="1" applyProtection="1">
      <alignment horizontal="center" vertical="center"/>
      <protection hidden="1"/>
    </xf>
    <xf numFmtId="2" fontId="21" fillId="23" borderId="10" xfId="0" applyNumberFormat="1" applyFont="1" applyFill="1" applyBorder="1" applyAlignment="1" applyProtection="1">
      <alignment horizontal="center"/>
      <protection hidden="1"/>
    </xf>
    <xf numFmtId="10" fontId="21" fillId="23" borderId="32" xfId="0" applyNumberFormat="1" applyFont="1" applyFill="1" applyBorder="1" applyAlignment="1" applyProtection="1">
      <alignment horizontal="center"/>
      <protection hidden="1"/>
    </xf>
    <xf numFmtId="1" fontId="19" fillId="7" borderId="21" xfId="0" applyNumberFormat="1" applyFont="1" applyFill="1" applyBorder="1" applyAlignment="1" applyProtection="1">
      <alignment horizontal="center" vertical="center"/>
      <protection hidden="1"/>
    </xf>
    <xf numFmtId="166" fontId="76" fillId="10" borderId="13" xfId="0" applyNumberFormat="1" applyFont="1" applyFill="1" applyBorder="1" applyAlignment="1" applyProtection="1">
      <alignment horizontal="center" vertical="top"/>
      <protection hidden="1"/>
    </xf>
    <xf numFmtId="10" fontId="20" fillId="7" borderId="75" xfId="0" applyNumberFormat="1" applyFont="1" applyFill="1" applyBorder="1" applyAlignment="1" applyProtection="1">
      <alignment horizontal="center"/>
      <protection hidden="1"/>
    </xf>
    <xf numFmtId="10" fontId="16" fillId="0" borderId="26" xfId="0" applyNumberFormat="1" applyFont="1" applyBorder="1" applyProtection="1">
      <protection hidden="1"/>
    </xf>
    <xf numFmtId="3" fontId="16" fillId="24" borderId="6" xfId="0" applyNumberFormat="1" applyFont="1" applyFill="1" applyBorder="1" applyProtection="1">
      <protection hidden="1"/>
    </xf>
    <xf numFmtId="4" fontId="16" fillId="0" borderId="6" xfId="0" applyNumberFormat="1" applyFont="1" applyBorder="1" applyProtection="1">
      <protection hidden="1"/>
    </xf>
    <xf numFmtId="166" fontId="80" fillId="10" borderId="6" xfId="0" applyNumberFormat="1" applyFont="1" applyFill="1" applyBorder="1" applyAlignment="1" applyProtection="1">
      <alignment horizontal="center" vertical="top"/>
      <protection hidden="1"/>
    </xf>
    <xf numFmtId="10" fontId="20" fillId="7" borderId="45" xfId="0" applyNumberFormat="1" applyFont="1" applyFill="1" applyBorder="1" applyAlignment="1" applyProtection="1">
      <alignment horizontal="center"/>
      <protection hidden="1"/>
    </xf>
    <xf numFmtId="3" fontId="16" fillId="0" borderId="6" xfId="0" applyNumberFormat="1" applyFont="1" applyBorder="1" applyProtection="1">
      <protection hidden="1"/>
    </xf>
    <xf numFmtId="10" fontId="16" fillId="5" borderId="26" xfId="0" applyNumberFormat="1" applyFont="1" applyFill="1" applyBorder="1" applyProtection="1">
      <protection hidden="1"/>
    </xf>
    <xf numFmtId="3" fontId="16" fillId="5" borderId="6" xfId="0" applyNumberFormat="1" applyFont="1" applyFill="1" applyBorder="1" applyProtection="1">
      <protection hidden="1"/>
    </xf>
    <xf numFmtId="4" fontId="16" fillId="5" borderId="6" xfId="0" applyNumberFormat="1" applyFont="1" applyFill="1" applyBorder="1" applyProtection="1">
      <protection hidden="1"/>
    </xf>
    <xf numFmtId="10" fontId="16" fillId="5" borderId="6" xfId="0" applyNumberFormat="1" applyFont="1" applyFill="1" applyBorder="1" applyProtection="1">
      <protection hidden="1"/>
    </xf>
    <xf numFmtId="1" fontId="19" fillId="7" borderId="72" xfId="0" applyNumberFormat="1" applyFont="1" applyFill="1" applyBorder="1" applyAlignment="1" applyProtection="1">
      <alignment horizontal="center" vertical="center"/>
      <protection hidden="1"/>
    </xf>
    <xf numFmtId="10" fontId="20" fillId="7" borderId="46" xfId="0" applyNumberFormat="1" applyFont="1" applyFill="1" applyBorder="1" applyAlignment="1" applyProtection="1">
      <alignment horizontal="center"/>
      <protection hidden="1"/>
    </xf>
    <xf numFmtId="166" fontId="80" fillId="0" borderId="0" xfId="0" applyNumberFormat="1" applyFont="1" applyAlignment="1" applyProtection="1">
      <alignment horizontal="center"/>
      <protection hidden="1"/>
    </xf>
    <xf numFmtId="10" fontId="21" fillId="0" borderId="0" xfId="0" applyNumberFormat="1" applyFont="1" applyAlignment="1" applyProtection="1">
      <alignment horizontal="center"/>
      <protection hidden="1"/>
    </xf>
    <xf numFmtId="10" fontId="70" fillId="4" borderId="41" xfId="0" applyNumberFormat="1" applyFont="1" applyFill="1" applyBorder="1" applyAlignment="1" applyProtection="1">
      <alignment horizontal="center"/>
      <protection hidden="1"/>
    </xf>
    <xf numFmtId="166" fontId="29" fillId="4" borderId="0" xfId="0" applyNumberFormat="1" applyFont="1" applyFill="1" applyProtection="1">
      <protection hidden="1"/>
    </xf>
    <xf numFmtId="9" fontId="21" fillId="5" borderId="24" xfId="0" applyNumberFormat="1" applyFont="1" applyFill="1" applyBorder="1" applyAlignment="1" applyProtection="1">
      <alignment horizontal="center" vertical="center"/>
      <protection hidden="1"/>
    </xf>
    <xf numFmtId="1" fontId="21" fillId="23" borderId="27" xfId="0" applyNumberFormat="1" applyFont="1" applyFill="1" applyBorder="1" applyAlignment="1" applyProtection="1">
      <alignment horizontal="right" vertical="center"/>
      <protection hidden="1"/>
    </xf>
    <xf numFmtId="0" fontId="21" fillId="0" borderId="1" xfId="0" applyFont="1" applyBorder="1" applyAlignment="1" applyProtection="1">
      <alignment horizontal="center" vertical="justify"/>
      <protection hidden="1"/>
    </xf>
    <xf numFmtId="0" fontId="21" fillId="0" borderId="2" xfId="0" applyFont="1" applyBorder="1" applyAlignment="1" applyProtection="1">
      <alignment vertical="justify"/>
      <protection hidden="1"/>
    </xf>
    <xf numFmtId="1" fontId="21" fillId="5" borderId="39" xfId="0" applyNumberFormat="1" applyFont="1" applyFill="1" applyBorder="1" applyAlignment="1" applyProtection="1">
      <alignment horizontal="center" vertical="center"/>
      <protection hidden="1"/>
    </xf>
    <xf numFmtId="166" fontId="76" fillId="10" borderId="4" xfId="0" applyNumberFormat="1" applyFont="1" applyFill="1" applyBorder="1" applyAlignment="1" applyProtection="1">
      <alignment horizontal="center" vertical="top"/>
      <protection hidden="1"/>
    </xf>
    <xf numFmtId="2" fontId="32" fillId="10" borderId="4" xfId="0" applyNumberFormat="1" applyFont="1" applyFill="1" applyBorder="1" applyAlignment="1" applyProtection="1">
      <alignment horizontal="center" vertical="top" wrapText="1"/>
      <protection hidden="1"/>
    </xf>
    <xf numFmtId="10" fontId="20" fillId="10" borderId="39" xfId="0" applyNumberFormat="1" applyFont="1" applyFill="1" applyBorder="1" applyAlignment="1" applyProtection="1">
      <alignment horizontal="center"/>
      <protection hidden="1"/>
    </xf>
    <xf numFmtId="3" fontId="16" fillId="24" borderId="13" xfId="0" applyNumberFormat="1" applyFont="1" applyFill="1" applyBorder="1" applyProtection="1">
      <protection hidden="1"/>
    </xf>
    <xf numFmtId="4" fontId="16" fillId="0" borderId="13" xfId="0" applyNumberFormat="1" applyFont="1" applyBorder="1" applyProtection="1">
      <protection hidden="1"/>
    </xf>
    <xf numFmtId="1" fontId="21" fillId="5" borderId="37" xfId="0" applyNumberFormat="1" applyFont="1" applyFill="1" applyBorder="1" applyAlignment="1" applyProtection="1">
      <alignment horizontal="center" vertical="center"/>
      <protection hidden="1"/>
    </xf>
    <xf numFmtId="1" fontId="21" fillId="5" borderId="34" xfId="0" applyNumberFormat="1" applyFont="1" applyFill="1" applyBorder="1" applyAlignment="1" applyProtection="1">
      <alignment horizontal="center" vertical="center"/>
      <protection hidden="1"/>
    </xf>
    <xf numFmtId="166" fontId="80" fillId="4" borderId="0" xfId="0" applyNumberFormat="1" applyFont="1" applyFill="1" applyBorder="1" applyAlignment="1" applyProtection="1">
      <alignment horizontal="center" vertical="top"/>
      <protection hidden="1"/>
    </xf>
    <xf numFmtId="10" fontId="21" fillId="4" borderId="41" xfId="0" applyNumberFormat="1" applyFont="1" applyFill="1" applyBorder="1" applyAlignment="1" applyProtection="1">
      <alignment horizontal="center"/>
      <protection hidden="1"/>
    </xf>
    <xf numFmtId="1" fontId="21" fillId="5" borderId="35" xfId="0" applyNumberFormat="1" applyFont="1" applyFill="1" applyBorder="1" applyAlignment="1" applyProtection="1">
      <alignment horizontal="center" vertical="center"/>
      <protection hidden="1"/>
    </xf>
    <xf numFmtId="10" fontId="70" fillId="4" borderId="41" xfId="0" applyNumberFormat="1" applyFont="1" applyFill="1" applyBorder="1" applyProtection="1">
      <protection hidden="1"/>
    </xf>
    <xf numFmtId="166" fontId="70" fillId="4" borderId="0" xfId="0" applyNumberFormat="1" applyFont="1" applyFill="1" applyBorder="1" applyProtection="1">
      <protection hidden="1"/>
    </xf>
    <xf numFmtId="10" fontId="70" fillId="4" borderId="0" xfId="0" applyNumberFormat="1" applyFont="1" applyFill="1" applyBorder="1" applyProtection="1">
      <protection hidden="1"/>
    </xf>
    <xf numFmtId="166" fontId="21" fillId="24" borderId="0" xfId="0" applyNumberFormat="1" applyFont="1" applyFill="1" applyAlignment="1" applyProtection="1">
      <alignment horizontal="center"/>
      <protection hidden="1"/>
    </xf>
    <xf numFmtId="10" fontId="70" fillId="7" borderId="41" xfId="0" applyNumberFormat="1" applyFont="1" applyFill="1" applyBorder="1" applyProtection="1">
      <protection hidden="1"/>
    </xf>
    <xf numFmtId="0" fontId="95" fillId="0" borderId="0" xfId="0" applyFont="1" applyProtection="1">
      <protection hidden="1"/>
    </xf>
    <xf numFmtId="0" fontId="21" fillId="5" borderId="24" xfId="0" applyNumberFormat="1" applyFont="1" applyFill="1" applyBorder="1" applyAlignment="1" applyProtection="1">
      <alignment horizontal="center" vertical="center"/>
      <protection hidden="1"/>
    </xf>
    <xf numFmtId="10" fontId="20" fillId="10" borderId="24" xfId="0" applyNumberFormat="1" applyFont="1" applyFill="1" applyBorder="1" applyAlignment="1" applyProtection="1">
      <alignment horizontal="center"/>
      <protection hidden="1"/>
    </xf>
    <xf numFmtId="166" fontId="20" fillId="10" borderId="8" xfId="0" applyNumberFormat="1" applyFont="1" applyFill="1" applyBorder="1" applyAlignment="1" applyProtection="1">
      <alignment horizontal="center" vertical="top"/>
      <protection hidden="1"/>
    </xf>
    <xf numFmtId="1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0" borderId="40" xfId="0" applyFont="1" applyBorder="1" applyAlignment="1" applyProtection="1">
      <alignment horizontal="center"/>
      <protection hidden="1"/>
    </xf>
    <xf numFmtId="10" fontId="16" fillId="0" borderId="40" xfId="0" applyNumberFormat="1" applyFont="1" applyBorder="1" applyAlignment="1" applyProtection="1">
      <alignment horizontal="center"/>
      <protection hidden="1"/>
    </xf>
    <xf numFmtId="1" fontId="58" fillId="10" borderId="30" xfId="0" applyNumberFormat="1" applyFont="1" applyFill="1" applyBorder="1" applyAlignment="1" applyProtection="1">
      <alignment horizontal="center" vertical="center"/>
      <protection hidden="1"/>
    </xf>
    <xf numFmtId="10" fontId="21" fillId="10" borderId="35" xfId="0" applyNumberFormat="1" applyFont="1" applyFill="1" applyBorder="1" applyAlignment="1" applyProtection="1">
      <alignment horizontal="center"/>
      <protection hidden="1"/>
    </xf>
    <xf numFmtId="0" fontId="17" fillId="19" borderId="0" xfId="0" applyFont="1" applyFill="1" applyProtection="1">
      <protection hidden="1"/>
    </xf>
    <xf numFmtId="0" fontId="20" fillId="19" borderId="0" xfId="0" applyFont="1" applyFill="1" applyBorder="1" applyAlignment="1" applyProtection="1">
      <alignment horizontal="center"/>
      <protection hidden="1"/>
    </xf>
    <xf numFmtId="0" fontId="20" fillId="19" borderId="0" xfId="0" applyFont="1" applyFill="1" applyBorder="1" applyAlignment="1" applyProtection="1">
      <alignment horizontal="center" vertical="center"/>
      <protection hidden="1"/>
    </xf>
    <xf numFmtId="9" fontId="20" fillId="19" borderId="0" xfId="0" applyNumberFormat="1" applyFont="1" applyFill="1" applyBorder="1" applyAlignment="1" applyProtection="1">
      <alignment horizontal="center" vertical="center"/>
      <protection hidden="1"/>
    </xf>
    <xf numFmtId="9" fontId="19" fillId="19" borderId="0" xfId="0" applyNumberFormat="1" applyFont="1" applyFill="1" applyBorder="1" applyAlignment="1" applyProtection="1">
      <alignment horizontal="center" vertical="center"/>
      <protection hidden="1"/>
    </xf>
    <xf numFmtId="1" fontId="20" fillId="0" borderId="0" xfId="0" applyNumberFormat="1" applyFont="1" applyFill="1" applyBorder="1" applyProtection="1">
      <protection hidden="1"/>
    </xf>
    <xf numFmtId="1" fontId="19" fillId="0" borderId="0" xfId="0" applyNumberFormat="1" applyFont="1" applyFill="1" applyBorder="1" applyProtection="1">
      <protection hidden="1"/>
    </xf>
    <xf numFmtId="0" fontId="20" fillId="19" borderId="5" xfId="0" applyFont="1" applyFill="1" applyBorder="1" applyAlignment="1" applyProtection="1">
      <alignment horizontal="center"/>
      <protection hidden="1"/>
    </xf>
    <xf numFmtId="0" fontId="20" fillId="19" borderId="6" xfId="0" applyFont="1" applyFill="1" applyBorder="1" applyAlignment="1" applyProtection="1">
      <alignment horizontal="center" vertical="center"/>
      <protection hidden="1"/>
    </xf>
    <xf numFmtId="1" fontId="21" fillId="19" borderId="6" xfId="0" applyNumberFormat="1" applyFont="1" applyFill="1" applyBorder="1" applyAlignment="1" applyProtection="1">
      <alignment horizontal="center" vertical="center"/>
      <protection hidden="1"/>
    </xf>
    <xf numFmtId="1" fontId="58" fillId="10" borderId="6" xfId="0" applyNumberFormat="1" applyFont="1" applyFill="1" applyBorder="1" applyAlignment="1" applyProtection="1">
      <alignment horizontal="center" vertical="center"/>
      <protection hidden="1"/>
    </xf>
    <xf numFmtId="166" fontId="21" fillId="19" borderId="13" xfId="0" applyNumberFormat="1" applyFont="1" applyFill="1" applyBorder="1" applyAlignment="1" applyProtection="1">
      <alignment horizontal="center" vertical="center"/>
      <protection hidden="1"/>
    </xf>
    <xf numFmtId="0" fontId="20" fillId="19" borderId="7" xfId="0" applyFont="1" applyFill="1" applyBorder="1" applyAlignment="1" applyProtection="1">
      <alignment horizontal="center"/>
      <protection hidden="1"/>
    </xf>
    <xf numFmtId="0" fontId="20" fillId="19" borderId="8" xfId="0" applyFont="1" applyFill="1" applyBorder="1" applyAlignment="1" applyProtection="1">
      <alignment horizontal="center" vertical="center"/>
      <protection hidden="1"/>
    </xf>
    <xf numFmtId="1" fontId="20" fillId="19" borderId="8" xfId="0" applyNumberFormat="1" applyFont="1" applyFill="1" applyBorder="1" applyAlignment="1" applyProtection="1">
      <alignment horizontal="center" vertical="center"/>
      <protection hidden="1"/>
    </xf>
    <xf numFmtId="1" fontId="21" fillId="19" borderId="8" xfId="0" applyNumberFormat="1" applyFont="1" applyFill="1" applyBorder="1" applyAlignment="1" applyProtection="1">
      <alignment horizontal="center" vertical="center"/>
      <protection hidden="1"/>
    </xf>
    <xf numFmtId="10" fontId="21" fillId="10" borderId="6" xfId="0" applyNumberFormat="1" applyFont="1" applyFill="1" applyBorder="1" applyAlignment="1" applyProtection="1">
      <alignment horizontal="center"/>
      <protection hidden="1"/>
    </xf>
    <xf numFmtId="10" fontId="21" fillId="7" borderId="17" xfId="0" applyNumberFormat="1" applyFont="1" applyFill="1" applyBorder="1" applyAlignment="1" applyProtection="1">
      <alignment horizontal="center"/>
      <protection hidden="1"/>
    </xf>
    <xf numFmtId="166" fontId="21" fillId="19" borderId="6" xfId="0" applyNumberFormat="1" applyFont="1" applyFill="1" applyBorder="1" applyAlignment="1" applyProtection="1">
      <alignment horizontal="center" vertical="center"/>
      <protection hidden="1"/>
    </xf>
    <xf numFmtId="10" fontId="16" fillId="4" borderId="6" xfId="0" applyNumberFormat="1" applyFont="1" applyFill="1" applyBorder="1" applyProtection="1">
      <protection hidden="1"/>
    </xf>
    <xf numFmtId="0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NumberFormat="1" applyFont="1" applyFill="1" applyBorder="1" applyAlignment="1" applyProtection="1">
      <alignment horizontal="center" vertical="center"/>
      <protection hidden="1"/>
    </xf>
    <xf numFmtId="10" fontId="20" fillId="0" borderId="41" xfId="0" applyNumberFormat="1" applyFont="1" applyBorder="1" applyAlignment="1" applyProtection="1">
      <alignment horizontal="center"/>
      <protection hidden="1"/>
    </xf>
    <xf numFmtId="0" fontId="20" fillId="28" borderId="6" xfId="0" applyFont="1" applyFill="1" applyBorder="1" applyAlignment="1" applyProtection="1">
      <alignment horizontal="center" vertical="center"/>
      <protection hidden="1"/>
    </xf>
    <xf numFmtId="1" fontId="20" fillId="28" borderId="6" xfId="0" applyNumberFormat="1" applyFont="1" applyFill="1" applyBorder="1" applyAlignment="1" applyProtection="1">
      <alignment horizontal="center" vertical="center"/>
      <protection hidden="1"/>
    </xf>
    <xf numFmtId="1" fontId="21" fillId="28" borderId="34" xfId="0" applyNumberFormat="1" applyFont="1" applyFill="1" applyBorder="1" applyAlignment="1" applyProtection="1">
      <alignment horizontal="center" vertical="center"/>
      <protection hidden="1"/>
    </xf>
    <xf numFmtId="1" fontId="58" fillId="28" borderId="5" xfId="0" applyNumberFormat="1" applyFont="1" applyFill="1" applyBorder="1" applyAlignment="1" applyProtection="1">
      <alignment horizontal="center" vertical="center"/>
      <protection hidden="1"/>
    </xf>
    <xf numFmtId="1" fontId="33" fillId="28" borderId="6" xfId="0" applyNumberFormat="1" applyFont="1" applyFill="1" applyBorder="1" applyAlignment="1" applyProtection="1">
      <alignment horizontal="center" vertical="top"/>
      <protection hidden="1"/>
    </xf>
    <xf numFmtId="166" fontId="80" fillId="28" borderId="6" xfId="0" applyNumberFormat="1" applyFont="1" applyFill="1" applyBorder="1" applyAlignment="1" applyProtection="1">
      <alignment horizontal="center" vertical="top"/>
      <protection hidden="1"/>
    </xf>
    <xf numFmtId="2" fontId="32" fillId="28" borderId="6" xfId="0" applyNumberFormat="1" applyFont="1" applyFill="1" applyBorder="1" applyAlignment="1" applyProtection="1">
      <alignment horizontal="center" vertical="top" wrapText="1"/>
      <protection hidden="1"/>
    </xf>
    <xf numFmtId="10" fontId="20" fillId="28" borderId="34" xfId="0" applyNumberFormat="1" applyFont="1" applyFill="1" applyBorder="1" applyAlignment="1" applyProtection="1">
      <alignment horizontal="center"/>
      <protection hidden="1"/>
    </xf>
    <xf numFmtId="10" fontId="21" fillId="28" borderId="50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10" fontId="21" fillId="7" borderId="73" xfId="0" applyNumberFormat="1" applyFont="1" applyFill="1" applyBorder="1" applyAlignment="1" applyProtection="1">
      <alignment horizontal="center"/>
      <protection hidden="1"/>
    </xf>
    <xf numFmtId="1" fontId="33" fillId="0" borderId="0" xfId="0" applyNumberFormat="1" applyFont="1" applyAlignment="1" applyProtection="1">
      <alignment horizontal="right"/>
      <protection hidden="1"/>
    </xf>
    <xf numFmtId="1" fontId="33" fillId="0" borderId="0" xfId="0" applyNumberFormat="1" applyFont="1" applyAlignment="1" applyProtection="1">
      <alignment horizontal="center"/>
      <protection hidden="1"/>
    </xf>
    <xf numFmtId="166" fontId="33" fillId="0" borderId="0" xfId="0" applyNumberFormat="1" applyFont="1" applyAlignment="1" applyProtection="1">
      <alignment horizontal="center"/>
      <protection hidden="1"/>
    </xf>
    <xf numFmtId="2" fontId="32" fillId="0" borderId="0" xfId="0" applyNumberFormat="1" applyFont="1" applyAlignment="1" applyProtection="1">
      <alignment horizontal="center"/>
      <protection hidden="1"/>
    </xf>
    <xf numFmtId="0" fontId="13" fillId="0" borderId="0" xfId="0" applyFont="1" applyProtection="1">
      <protection hidden="1"/>
    </xf>
    <xf numFmtId="1" fontId="32" fillId="0" borderId="0" xfId="0" applyNumberFormat="1" applyFont="1" applyAlignment="1" applyProtection="1">
      <alignment horizontal="center"/>
      <protection hidden="1"/>
    </xf>
    <xf numFmtId="10" fontId="21" fillId="5" borderId="24" xfId="0" applyNumberFormat="1" applyFont="1" applyFill="1" applyBorder="1" applyAlignment="1" applyProtection="1">
      <alignment horizontal="center" vertical="center"/>
      <protection hidden="1"/>
    </xf>
    <xf numFmtId="2" fontId="76" fillId="10" borderId="13" xfId="0" applyNumberFormat="1" applyFont="1" applyFill="1" applyBorder="1" applyAlignment="1" applyProtection="1">
      <alignment horizontal="center" vertical="top" wrapText="1"/>
      <protection hidden="1"/>
    </xf>
    <xf numFmtId="3" fontId="16" fillId="0" borderId="13" xfId="0" applyNumberFormat="1" applyFont="1" applyBorder="1" applyProtection="1">
      <protection hidden="1"/>
    </xf>
    <xf numFmtId="2" fontId="76" fillId="10" borderId="6" xfId="0" applyNumberFormat="1" applyFont="1" applyFill="1" applyBorder="1" applyAlignment="1" applyProtection="1">
      <alignment horizontal="center" vertical="top" wrapText="1"/>
      <protection hidden="1"/>
    </xf>
    <xf numFmtId="166" fontId="20" fillId="19" borderId="6" xfId="0" applyNumberFormat="1" applyFont="1" applyFill="1" applyBorder="1" applyAlignment="1" applyProtection="1">
      <alignment horizontal="center" vertical="center"/>
      <protection hidden="1"/>
    </xf>
    <xf numFmtId="10" fontId="21" fillId="0" borderId="41" xfId="0" applyNumberFormat="1" applyFont="1" applyBorder="1" applyAlignment="1" applyProtection="1">
      <alignment horizontal="center"/>
      <protection hidden="1"/>
    </xf>
    <xf numFmtId="0" fontId="43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21" fillId="0" borderId="41" xfId="0" applyNumberFormat="1" applyFont="1" applyFill="1" applyBorder="1" applyAlignment="1" applyProtection="1">
      <alignment horizontal="center"/>
      <protection hidden="1"/>
    </xf>
    <xf numFmtId="10" fontId="13" fillId="24" borderId="0" xfId="0" applyNumberFormat="1" applyFont="1" applyFill="1" applyProtection="1">
      <protection hidden="1"/>
    </xf>
    <xf numFmtId="10" fontId="29" fillId="29" borderId="6" xfId="0" applyNumberFormat="1" applyFont="1" applyFill="1" applyBorder="1" applyAlignment="1" applyProtection="1">
      <alignment horizontal="center"/>
      <protection hidden="1"/>
    </xf>
    <xf numFmtId="166" fontId="29" fillId="29" borderId="0" xfId="0" applyNumberFormat="1" applyFont="1" applyFill="1" applyBorder="1" applyAlignment="1" applyProtection="1">
      <alignment horizontal="center"/>
      <protection hidden="1"/>
    </xf>
    <xf numFmtId="10" fontId="13" fillId="4" borderId="0" xfId="0" applyNumberFormat="1" applyFont="1" applyFill="1" applyProtection="1">
      <protection hidden="1"/>
    </xf>
    <xf numFmtId="10" fontId="16" fillId="21" borderId="41" xfId="0" applyNumberFormat="1" applyFont="1" applyFill="1" applyBorder="1" applyProtection="1">
      <protection hidden="1"/>
    </xf>
    <xf numFmtId="10" fontId="16" fillId="21" borderId="52" xfId="0" applyNumberFormat="1" applyFont="1" applyFill="1" applyBorder="1" applyProtection="1">
      <protection hidden="1"/>
    </xf>
    <xf numFmtId="0" fontId="17" fillId="0" borderId="0" xfId="0" applyFont="1" applyAlignment="1" applyProtection="1">
      <protection hidden="1"/>
    </xf>
    <xf numFmtId="0" fontId="21" fillId="7" borderId="6" xfId="0" applyFont="1" applyFill="1" applyBorder="1" applyAlignment="1" applyProtection="1">
      <alignment vertical="justify"/>
      <protection hidden="1"/>
    </xf>
    <xf numFmtId="0" fontId="17" fillId="0" borderId="12" xfId="0" applyFont="1" applyBorder="1" applyAlignment="1" applyProtection="1">
      <alignment horizontal="center"/>
      <protection hidden="1"/>
    </xf>
    <xf numFmtId="0" fontId="17" fillId="0" borderId="13" xfId="0" applyFont="1" applyBorder="1" applyAlignment="1" applyProtection="1">
      <alignment horizontal="center" vertical="center"/>
      <protection hidden="1"/>
    </xf>
    <xf numFmtId="1" fontId="17" fillId="0" borderId="13" xfId="0" applyNumberFormat="1" applyFont="1" applyBorder="1" applyAlignment="1" applyProtection="1">
      <alignment horizontal="center" vertical="center"/>
      <protection hidden="1"/>
    </xf>
    <xf numFmtId="1" fontId="17" fillId="19" borderId="13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NumberFormat="1" applyFont="1" applyAlignment="1" applyProtection="1">
      <alignment horizontal="center"/>
      <protection hidden="1"/>
    </xf>
    <xf numFmtId="10" fontId="76" fillId="7" borderId="6" xfId="0" applyNumberFormat="1" applyFont="1" applyFill="1" applyBorder="1" applyAlignment="1" applyProtection="1">
      <alignment horizontal="center"/>
      <protection hidden="1"/>
    </xf>
    <xf numFmtId="166" fontId="21" fillId="5" borderId="13" xfId="0" applyNumberFormat="1" applyFont="1" applyFill="1" applyBorder="1" applyAlignment="1" applyProtection="1">
      <alignment horizontal="center" vertical="center"/>
      <protection hidden="1"/>
    </xf>
    <xf numFmtId="2" fontId="21" fillId="5" borderId="13" xfId="0" applyNumberFormat="1" applyFont="1" applyFill="1" applyBorder="1" applyAlignment="1" applyProtection="1">
      <alignment horizontal="center"/>
      <protection hidden="1"/>
    </xf>
    <xf numFmtId="10" fontId="21" fillId="5" borderId="50" xfId="0" applyNumberFormat="1" applyFont="1" applyFill="1" applyBorder="1" applyAlignment="1" applyProtection="1">
      <alignment horizontal="center"/>
      <protection hidden="1"/>
    </xf>
    <xf numFmtId="10" fontId="16" fillId="5" borderId="0" xfId="0" applyNumberFormat="1" applyFont="1" applyFill="1" applyProtection="1">
      <protection hidden="1"/>
    </xf>
    <xf numFmtId="10" fontId="16" fillId="5" borderId="0" xfId="0" applyNumberFormat="1" applyFont="1" applyFill="1" applyAlignment="1" applyProtection="1">
      <alignment horizontal="center"/>
      <protection hidden="1"/>
    </xf>
    <xf numFmtId="10" fontId="13" fillId="24" borderId="41" xfId="0" applyNumberFormat="1" applyFont="1" applyFill="1" applyBorder="1" applyProtection="1">
      <protection hidden="1"/>
    </xf>
    <xf numFmtId="1" fontId="96" fillId="0" borderId="0" xfId="0" applyNumberFormat="1" applyFont="1" applyAlignment="1" applyProtection="1">
      <alignment horizontal="center"/>
      <protection hidden="1"/>
    </xf>
    <xf numFmtId="0" fontId="78" fillId="25" borderId="26" xfId="0" applyFont="1" applyFill="1" applyBorder="1" applyAlignment="1" applyProtection="1">
      <alignment horizontal="center" vertical="justify"/>
      <protection hidden="1"/>
    </xf>
    <xf numFmtId="0" fontId="78" fillId="25" borderId="26" xfId="0" applyFont="1" applyFill="1" applyBorder="1" applyAlignment="1" applyProtection="1">
      <alignment horizontal="center" vertical="center"/>
      <protection hidden="1"/>
    </xf>
    <xf numFmtId="0" fontId="58" fillId="25" borderId="6" xfId="0" applyNumberFormat="1" applyFont="1" applyFill="1" applyBorder="1" applyAlignment="1" applyProtection="1">
      <alignment horizontal="center" vertical="center"/>
      <protection hidden="1"/>
    </xf>
    <xf numFmtId="10" fontId="97" fillId="25" borderId="6" xfId="0" applyNumberFormat="1" applyFont="1" applyFill="1" applyBorder="1" applyAlignment="1" applyProtection="1">
      <alignment horizontal="center" vertical="center"/>
      <protection hidden="1"/>
    </xf>
    <xf numFmtId="0" fontId="58" fillId="25" borderId="6" xfId="0" applyFont="1" applyFill="1" applyBorder="1" applyAlignment="1" applyProtection="1">
      <alignment horizontal="center" vertical="center"/>
      <protection hidden="1"/>
    </xf>
    <xf numFmtId="1" fontId="58" fillId="25" borderId="6" xfId="0" applyNumberFormat="1" applyFont="1" applyFill="1" applyBorder="1" applyAlignment="1" applyProtection="1">
      <alignment horizontal="center" vertical="center"/>
      <protection hidden="1"/>
    </xf>
    <xf numFmtId="0" fontId="97" fillId="0" borderId="0" xfId="0" applyFont="1" applyAlignment="1" applyProtection="1">
      <protection hidden="1"/>
    </xf>
    <xf numFmtId="0" fontId="98" fillId="0" borderId="0" xfId="0" applyFont="1" applyAlignment="1" applyProtection="1">
      <protection hidden="1"/>
    </xf>
    <xf numFmtId="0" fontId="98" fillId="0" borderId="0" xfId="0" applyFont="1" applyAlignment="1" applyProtection="1">
      <alignment horizontal="center" vertical="center"/>
      <protection hidden="1"/>
    </xf>
    <xf numFmtId="0" fontId="97" fillId="0" borderId="0" xfId="0" applyNumberFormat="1" applyFont="1" applyAlignment="1" applyProtection="1">
      <alignment horizontal="center" vertical="center"/>
      <protection hidden="1"/>
    </xf>
    <xf numFmtId="0" fontId="97" fillId="0" borderId="0" xfId="0" applyFont="1" applyAlignment="1" applyProtection="1">
      <alignment horizontal="center"/>
      <protection hidden="1"/>
    </xf>
    <xf numFmtId="1" fontId="97" fillId="0" borderId="0" xfId="0" applyNumberFormat="1" applyFont="1" applyAlignment="1" applyProtection="1">
      <alignment horizontal="right"/>
      <protection hidden="1"/>
    </xf>
    <xf numFmtId="166" fontId="16" fillId="0" borderId="6" xfId="0" applyNumberFormat="1" applyFont="1" applyBorder="1" applyProtection="1">
      <protection hidden="1"/>
    </xf>
    <xf numFmtId="1" fontId="30" fillId="0" borderId="0" xfId="0" applyNumberFormat="1" applyFont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/>
      <protection hidden="1"/>
    </xf>
    <xf numFmtId="2" fontId="45" fillId="0" borderId="40" xfId="0" applyNumberFormat="1" applyFont="1" applyBorder="1" applyAlignment="1" applyProtection="1">
      <alignment horizontal="center"/>
      <protection hidden="1"/>
    </xf>
    <xf numFmtId="10" fontId="30" fillId="0" borderId="40" xfId="0" applyNumberFormat="1" applyFont="1" applyBorder="1" applyAlignment="1" applyProtection="1">
      <alignment horizontal="center"/>
      <protection hidden="1"/>
    </xf>
    <xf numFmtId="10" fontId="30" fillId="0" borderId="0" xfId="0" applyNumberFormat="1" applyFont="1" applyBorder="1" applyAlignment="1" applyProtection="1">
      <alignment horizontal="center"/>
      <protection hidden="1"/>
    </xf>
    <xf numFmtId="0" fontId="21" fillId="0" borderId="9" xfId="0" applyFont="1" applyBorder="1" applyAlignment="1" applyProtection="1">
      <alignment horizontal="center" vertical="center"/>
      <protection hidden="1"/>
    </xf>
    <xf numFmtId="9" fontId="21" fillId="5" borderId="24" xfId="0" applyNumberFormat="1" applyFont="1" applyFill="1" applyBorder="1" applyAlignment="1" applyProtection="1">
      <alignment horizontal="center"/>
      <protection hidden="1"/>
    </xf>
    <xf numFmtId="3" fontId="19" fillId="7" borderId="20" xfId="0" applyNumberFormat="1" applyFont="1" applyFill="1" applyBorder="1" applyAlignment="1" applyProtection="1">
      <alignment horizontal="center"/>
      <protection hidden="1"/>
    </xf>
    <xf numFmtId="4" fontId="19" fillId="7" borderId="32" xfId="0" applyNumberFormat="1" applyFont="1" applyFill="1" applyBorder="1" applyAlignment="1" applyProtection="1">
      <alignment horizontal="center" vertical="center"/>
      <protection hidden="1"/>
    </xf>
    <xf numFmtId="1" fontId="45" fillId="23" borderId="10" xfId="0" applyNumberFormat="1" applyFont="1" applyFill="1" applyBorder="1" applyAlignment="1" applyProtection="1">
      <alignment horizontal="center" vertical="center"/>
      <protection hidden="1"/>
    </xf>
    <xf numFmtId="0" fontId="21" fillId="7" borderId="25" xfId="0" applyFont="1" applyFill="1" applyBorder="1" applyAlignment="1" applyProtection="1">
      <alignment horizontal="center" vertical="justify"/>
      <protection hidden="1"/>
    </xf>
    <xf numFmtId="10" fontId="21" fillId="0" borderId="20" xfId="0" applyNumberFormat="1" applyFont="1" applyBorder="1" applyAlignment="1" applyProtection="1">
      <alignment horizontal="center" vertical="justify"/>
      <protection hidden="1"/>
    </xf>
    <xf numFmtId="0" fontId="20" fillId="0" borderId="3" xfId="0" applyFont="1" applyBorder="1" applyAlignment="1" applyProtection="1">
      <alignment horizontal="left" vertical="center"/>
      <protection hidden="1"/>
    </xf>
    <xf numFmtId="0" fontId="21" fillId="5" borderId="6" xfId="0" applyNumberFormat="1" applyFont="1" applyFill="1" applyBorder="1" applyAlignment="1" applyProtection="1">
      <alignment horizontal="center"/>
      <protection hidden="1"/>
    </xf>
    <xf numFmtId="3" fontId="19" fillId="7" borderId="50" xfId="0" applyNumberFormat="1" applyFont="1" applyFill="1" applyBorder="1" applyAlignment="1" applyProtection="1">
      <alignment horizontal="center"/>
      <protection hidden="1"/>
    </xf>
    <xf numFmtId="4" fontId="19" fillId="7" borderId="50" xfId="0" applyNumberFormat="1" applyFont="1" applyFill="1" applyBorder="1" applyAlignment="1" applyProtection="1">
      <alignment horizontal="center" vertical="center"/>
      <protection hidden="1"/>
    </xf>
    <xf numFmtId="1" fontId="58" fillId="10" borderId="13" xfId="0" applyNumberFormat="1" applyFont="1" applyFill="1" applyBorder="1" applyAlignment="1" applyProtection="1">
      <alignment horizontal="center" vertical="center"/>
      <protection hidden="1"/>
    </xf>
    <xf numFmtId="10" fontId="21" fillId="7" borderId="13" xfId="0" applyNumberFormat="1" applyFont="1" applyFill="1" applyBorder="1" applyAlignment="1" applyProtection="1">
      <alignment horizontal="center" vertical="center"/>
      <protection hidden="1"/>
    </xf>
    <xf numFmtId="10" fontId="16" fillId="5" borderId="50" xfId="0" applyNumberFormat="1" applyFont="1" applyFill="1" applyBorder="1" applyAlignment="1" applyProtection="1">
      <alignment horizontal="center"/>
      <protection hidden="1"/>
    </xf>
    <xf numFmtId="10" fontId="32" fillId="22" borderId="13" xfId="0" applyNumberFormat="1" applyFont="1" applyFill="1" applyBorder="1" applyAlignment="1" applyProtection="1">
      <alignment horizontal="center"/>
      <protection hidden="1"/>
    </xf>
    <xf numFmtId="0" fontId="20" fillId="28" borderId="5" xfId="0" applyFont="1" applyFill="1" applyBorder="1" applyAlignment="1" applyProtection="1">
      <alignment horizontal="left" vertical="center"/>
      <protection hidden="1"/>
    </xf>
    <xf numFmtId="1" fontId="76" fillId="28" borderId="6" xfId="0" applyNumberFormat="1" applyFont="1" applyFill="1" applyBorder="1" applyAlignment="1" applyProtection="1">
      <alignment horizontal="center" vertical="center"/>
      <protection hidden="1"/>
    </xf>
    <xf numFmtId="1" fontId="58" fillId="28" borderId="6" xfId="0" applyNumberFormat="1" applyFont="1" applyFill="1" applyBorder="1" applyAlignment="1" applyProtection="1">
      <alignment horizontal="center" vertical="center"/>
      <protection hidden="1"/>
    </xf>
    <xf numFmtId="166" fontId="76" fillId="28" borderId="6" xfId="0" applyNumberFormat="1" applyFont="1" applyFill="1" applyBorder="1" applyAlignment="1" applyProtection="1">
      <alignment horizontal="center" vertical="top"/>
      <protection hidden="1"/>
    </xf>
    <xf numFmtId="2" fontId="32" fillId="28" borderId="13" xfId="0" applyNumberFormat="1" applyFont="1" applyFill="1" applyBorder="1" applyAlignment="1" applyProtection="1">
      <alignment horizontal="center" vertical="top" wrapText="1"/>
      <protection hidden="1"/>
    </xf>
    <xf numFmtId="166" fontId="20" fillId="28" borderId="6" xfId="0" applyNumberFormat="1" applyFont="1" applyFill="1" applyBorder="1" applyAlignment="1" applyProtection="1">
      <alignment horizontal="center" vertical="center"/>
      <protection hidden="1"/>
    </xf>
    <xf numFmtId="10" fontId="16" fillId="4" borderId="50" xfId="0" applyNumberFormat="1" applyFont="1" applyFill="1" applyBorder="1" applyAlignment="1" applyProtection="1">
      <alignment horizontal="center"/>
      <protection hidden="1"/>
    </xf>
    <xf numFmtId="166" fontId="21" fillId="28" borderId="6" xfId="0" applyNumberFormat="1" applyFont="1" applyFill="1" applyBorder="1" applyAlignment="1" applyProtection="1">
      <alignment horizontal="center" vertical="center"/>
      <protection hidden="1"/>
    </xf>
    <xf numFmtId="0" fontId="20" fillId="28" borderId="7" xfId="0" applyFont="1" applyFill="1" applyBorder="1" applyAlignment="1" applyProtection="1">
      <alignment horizontal="left" vertical="center"/>
      <protection hidden="1"/>
    </xf>
    <xf numFmtId="1" fontId="58" fillId="28" borderId="8" xfId="0" applyNumberFormat="1" applyFont="1" applyFill="1" applyBorder="1" applyAlignment="1" applyProtection="1">
      <alignment horizontal="center" vertical="center"/>
      <protection hidden="1"/>
    </xf>
    <xf numFmtId="166" fontId="20" fillId="28" borderId="8" xfId="0" applyNumberFormat="1" applyFont="1" applyFill="1" applyBorder="1" applyAlignment="1" applyProtection="1">
      <alignment horizontal="center" vertical="top"/>
      <protection hidden="1"/>
    </xf>
    <xf numFmtId="2" fontId="32" fillId="28" borderId="14" xfId="0" applyNumberFormat="1" applyFont="1" applyFill="1" applyBorder="1" applyAlignment="1" applyProtection="1">
      <alignment horizontal="center" vertical="top" wrapText="1"/>
      <protection hidden="1"/>
    </xf>
    <xf numFmtId="10" fontId="21" fillId="7" borderId="16" xfId="0" applyNumberFormat="1" applyFont="1" applyFill="1" applyBorder="1" applyAlignment="1" applyProtection="1">
      <alignment horizontal="center" vertical="center"/>
      <protection hidden="1"/>
    </xf>
    <xf numFmtId="10" fontId="21" fillId="28" borderId="74" xfId="0" applyNumberFormat="1" applyFont="1" applyFill="1" applyBorder="1" applyAlignment="1" applyProtection="1">
      <alignment horizontal="center"/>
      <protection hidden="1"/>
    </xf>
    <xf numFmtId="166" fontId="29" fillId="7" borderId="0" xfId="0" applyNumberFormat="1" applyFont="1" applyFill="1" applyBorder="1" applyProtection="1">
      <protection hidden="1"/>
    </xf>
    <xf numFmtId="10" fontId="29" fillId="7" borderId="0" xfId="0" applyNumberFormat="1" applyFont="1" applyFill="1" applyBorder="1" applyProtection="1">
      <protection hidden="1"/>
    </xf>
    <xf numFmtId="3" fontId="29" fillId="27" borderId="0" xfId="0" applyNumberFormat="1" applyFont="1" applyFill="1" applyProtection="1">
      <protection hidden="1"/>
    </xf>
    <xf numFmtId="4" fontId="29" fillId="27" borderId="0" xfId="0" applyNumberFormat="1" applyFont="1" applyFill="1" applyProtection="1">
      <protection hidden="1"/>
    </xf>
    <xf numFmtId="0" fontId="95" fillId="0" borderId="0" xfId="0" applyFont="1" applyBorder="1" applyAlignment="1" applyProtection="1">
      <alignment horizontal="center" vertical="center"/>
      <protection hidden="1"/>
    </xf>
    <xf numFmtId="0" fontId="19" fillId="0" borderId="0" xfId="0" applyFont="1" applyBorder="1" applyProtection="1"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166" fontId="16" fillId="26" borderId="0" xfId="0" applyNumberFormat="1" applyFont="1" applyFill="1" applyProtection="1">
      <protection hidden="1"/>
    </xf>
    <xf numFmtId="1" fontId="19" fillId="7" borderId="13" xfId="0" applyNumberFormat="1" applyFont="1" applyFill="1" applyBorder="1" applyAlignment="1" applyProtection="1">
      <alignment horizontal="center" vertical="center"/>
      <protection hidden="1"/>
    </xf>
    <xf numFmtId="1" fontId="21" fillId="5" borderId="13" xfId="0" applyNumberFormat="1" applyFont="1" applyFill="1" applyBorder="1" applyAlignment="1" applyProtection="1">
      <alignment horizontal="center" vertical="center"/>
      <protection hidden="1"/>
    </xf>
    <xf numFmtId="1" fontId="58" fillId="10" borderId="29" xfId="0" applyNumberFormat="1" applyFont="1" applyFill="1" applyBorder="1" applyAlignment="1" applyProtection="1">
      <alignment horizontal="center" vertical="center"/>
      <protection hidden="1"/>
    </xf>
    <xf numFmtId="166" fontId="20" fillId="10" borderId="13" xfId="0" applyNumberFormat="1" applyFont="1" applyFill="1" applyBorder="1" applyAlignment="1" applyProtection="1">
      <alignment horizontal="center" vertical="top"/>
      <protection hidden="1"/>
    </xf>
    <xf numFmtId="1" fontId="19" fillId="7" borderId="8" xfId="0" applyNumberFormat="1" applyFont="1" applyFill="1" applyBorder="1" applyAlignment="1" applyProtection="1">
      <alignment horizontal="center" vertical="center"/>
      <protection hidden="1"/>
    </xf>
    <xf numFmtId="1" fontId="21" fillId="5" borderId="8" xfId="0" applyNumberFormat="1" applyFont="1" applyFill="1" applyBorder="1" applyAlignment="1" applyProtection="1">
      <alignment horizontal="center" vertical="center"/>
      <protection hidden="1"/>
    </xf>
    <xf numFmtId="10" fontId="21" fillId="7" borderId="38" xfId="0" applyNumberFormat="1" applyFont="1" applyFill="1" applyBorder="1" applyAlignment="1" applyProtection="1">
      <alignment horizontal="center"/>
      <protection hidden="1"/>
    </xf>
    <xf numFmtId="2" fontId="94" fillId="4" borderId="6" xfId="0" applyNumberFormat="1" applyFont="1" applyFill="1" applyBorder="1" applyAlignment="1" applyProtection="1">
      <alignment horizontal="center" vertical="center"/>
      <protection hidden="1"/>
    </xf>
    <xf numFmtId="3" fontId="29" fillId="4" borderId="0" xfId="0" applyNumberFormat="1" applyFont="1" applyFill="1" applyAlignment="1" applyProtection="1">
      <alignment horizontal="center"/>
      <protection hidden="1"/>
    </xf>
    <xf numFmtId="4" fontId="29" fillId="4" borderId="0" xfId="0" applyNumberFormat="1" applyFont="1" applyFill="1" applyProtection="1">
      <protection hidden="1"/>
    </xf>
    <xf numFmtId="10" fontId="29" fillId="4" borderId="0" xfId="0" applyNumberFormat="1" applyFont="1" applyFill="1" applyAlignment="1" applyProtection="1">
      <alignment horizontal="center"/>
      <protection hidden="1"/>
    </xf>
    <xf numFmtId="10" fontId="99" fillId="4" borderId="6" xfId="0" applyNumberFormat="1" applyFont="1" applyFill="1" applyBorder="1" applyAlignment="1" applyProtection="1">
      <alignment horizontal="center" vertical="center"/>
      <protection hidden="1"/>
    </xf>
    <xf numFmtId="1" fontId="21" fillId="5" borderId="47" xfId="0" applyNumberFormat="1" applyFont="1" applyFill="1" applyBorder="1" applyAlignment="1" applyProtection="1">
      <alignment horizontal="center" vertical="center"/>
      <protection hidden="1"/>
    </xf>
    <xf numFmtId="1" fontId="21" fillId="5" borderId="32" xfId="0" applyNumberFormat="1" applyFont="1" applyFill="1" applyBorder="1" applyAlignment="1" applyProtection="1">
      <alignment horizontal="center" vertical="center"/>
      <protection hidden="1"/>
    </xf>
    <xf numFmtId="10" fontId="21" fillId="4" borderId="0" xfId="0" applyNumberFormat="1" applyFont="1" applyFill="1" applyAlignment="1" applyProtection="1">
      <alignment horizontal="center"/>
      <protection hidden="1"/>
    </xf>
    <xf numFmtId="1" fontId="21" fillId="4" borderId="0" xfId="0" applyNumberFormat="1" applyFont="1" applyFill="1" applyBorder="1" applyAlignment="1" applyProtection="1">
      <alignment horizontal="center" vertical="center"/>
      <protection hidden="1"/>
    </xf>
    <xf numFmtId="10" fontId="21" fillId="4" borderId="0" xfId="0" applyNumberFormat="1" applyFont="1" applyFill="1" applyBorder="1" applyAlignment="1" applyProtection="1">
      <alignment horizontal="center"/>
      <protection hidden="1"/>
    </xf>
    <xf numFmtId="0" fontId="19" fillId="7" borderId="37" xfId="0" applyFont="1" applyFill="1" applyBorder="1" applyAlignment="1" applyProtection="1">
      <alignment horizontal="center" vertical="center"/>
      <protection hidden="1"/>
    </xf>
    <xf numFmtId="1" fontId="21" fillId="5" borderId="6" xfId="0" applyNumberFormat="1" applyFont="1" applyFill="1" applyBorder="1" applyAlignment="1" applyProtection="1">
      <alignment horizontal="center" vertical="center"/>
      <protection hidden="1"/>
    </xf>
    <xf numFmtId="1" fontId="58" fillId="10" borderId="26" xfId="0" applyNumberFormat="1" applyFont="1" applyFill="1" applyBorder="1" applyAlignment="1" applyProtection="1">
      <alignment horizontal="center" vertical="top"/>
      <protection hidden="1"/>
    </xf>
    <xf numFmtId="1" fontId="58" fillId="10" borderId="30" xfId="0" applyNumberFormat="1" applyFont="1" applyFill="1" applyBorder="1" applyAlignment="1" applyProtection="1">
      <alignment horizontal="center" vertical="top"/>
      <protection hidden="1"/>
    </xf>
    <xf numFmtId="10" fontId="29" fillId="4" borderId="6" xfId="0" applyNumberFormat="1" applyFont="1" applyFill="1" applyBorder="1" applyProtection="1">
      <protection hidden="1"/>
    </xf>
    <xf numFmtId="0" fontId="96" fillId="0" borderId="0" xfId="0" applyFont="1" applyProtection="1">
      <protection hidden="1"/>
    </xf>
    <xf numFmtId="0" fontId="96" fillId="0" borderId="0" xfId="0" applyFont="1" applyBorder="1" applyAlignment="1" applyProtection="1">
      <alignment horizontal="center" vertical="center"/>
      <protection hidden="1"/>
    </xf>
    <xf numFmtId="1" fontId="96" fillId="0" borderId="0" xfId="0" applyNumberFormat="1" applyFont="1" applyBorder="1" applyAlignment="1" applyProtection="1">
      <alignment horizontal="center" vertical="center"/>
      <protection hidden="1"/>
    </xf>
    <xf numFmtId="1" fontId="95" fillId="0" borderId="0" xfId="0" applyNumberFormat="1" applyFont="1" applyAlignment="1" applyProtection="1">
      <alignment horizontal="right"/>
      <protection hidden="1"/>
    </xf>
    <xf numFmtId="1" fontId="95" fillId="0" borderId="0" xfId="0" applyNumberFormat="1" applyFont="1" applyAlignment="1" applyProtection="1">
      <alignment horizontal="center"/>
      <protection hidden="1"/>
    </xf>
    <xf numFmtId="166" fontId="95" fillId="0" borderId="0" xfId="0" applyNumberFormat="1" applyFont="1" applyAlignment="1" applyProtection="1">
      <alignment horizontal="center"/>
      <protection hidden="1"/>
    </xf>
    <xf numFmtId="2" fontId="60" fillId="0" borderId="0" xfId="0" applyNumberFormat="1" applyFont="1" applyAlignment="1" applyProtection="1">
      <alignment horizontal="center"/>
      <protection hidden="1"/>
    </xf>
    <xf numFmtId="10" fontId="100" fillId="0" borderId="0" xfId="0" applyNumberFormat="1" applyFont="1" applyAlignment="1" applyProtection="1">
      <alignment horizontal="center"/>
      <protection hidden="1"/>
    </xf>
    <xf numFmtId="10" fontId="70" fillId="7" borderId="44" xfId="0" applyNumberFormat="1" applyFont="1" applyFill="1" applyBorder="1" applyProtection="1">
      <protection hidden="1"/>
    </xf>
    <xf numFmtId="1" fontId="16" fillId="0" borderId="0" xfId="0" applyNumberFormat="1" applyFont="1" applyAlignment="1" applyProtection="1">
      <alignment horizontal="center" vertical="center"/>
      <protection hidden="1"/>
    </xf>
    <xf numFmtId="10" fontId="70" fillId="0" borderId="0" xfId="0" applyNumberFormat="1" applyFont="1" applyFill="1" applyBorder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10" fontId="29" fillId="0" borderId="0" xfId="0" applyNumberFormat="1" applyFont="1" applyFill="1" applyBorder="1" applyProtection="1">
      <protection hidden="1"/>
    </xf>
    <xf numFmtId="10" fontId="70" fillId="0" borderId="0" xfId="0" applyNumberFormat="1" applyFont="1" applyFill="1" applyBorder="1" applyProtection="1">
      <protection hidden="1"/>
    </xf>
    <xf numFmtId="10" fontId="29" fillId="0" borderId="0" xfId="0" applyNumberFormat="1" applyFont="1" applyFill="1" applyBorder="1" applyAlignment="1" applyProtection="1">
      <alignment horizontal="center"/>
      <protection hidden="1"/>
    </xf>
    <xf numFmtId="166" fontId="29" fillId="0" borderId="0" xfId="0" applyNumberFormat="1" applyFont="1" applyFill="1" applyBorder="1" applyAlignment="1" applyProtection="1">
      <alignment horizontal="center"/>
      <protection hidden="1"/>
    </xf>
    <xf numFmtId="0" fontId="19" fillId="7" borderId="10" xfId="0" applyFont="1" applyFill="1" applyBorder="1" applyAlignment="1" applyProtection="1">
      <alignment horizontal="center" vertical="center"/>
      <protection hidden="1"/>
    </xf>
    <xf numFmtId="9" fontId="19" fillId="7" borderId="41" xfId="0" applyNumberFormat="1" applyFont="1" applyFill="1" applyBorder="1" applyAlignment="1" applyProtection="1">
      <alignment horizontal="center" vertical="center"/>
      <protection hidden="1"/>
    </xf>
    <xf numFmtId="0" fontId="17" fillId="0" borderId="9" xfId="0" applyFont="1" applyBorder="1" applyAlignment="1" applyProtection="1">
      <alignment horizontal="center" vertical="center"/>
      <protection hidden="1"/>
    </xf>
    <xf numFmtId="0" fontId="30" fillId="0" borderId="10" xfId="0" applyFont="1" applyBorder="1" applyAlignment="1" applyProtection="1">
      <alignment horizontal="center" vertical="center"/>
      <protection hidden="1"/>
    </xf>
    <xf numFmtId="1" fontId="17" fillId="0" borderId="10" xfId="0" applyNumberFormat="1" applyFont="1" applyBorder="1" applyAlignment="1" applyProtection="1">
      <alignment horizontal="center" vertical="center"/>
      <protection hidden="1"/>
    </xf>
    <xf numFmtId="0" fontId="17" fillId="0" borderId="10" xfId="0" applyFont="1" applyBorder="1" applyAlignment="1" applyProtection="1">
      <alignment horizontal="center" vertical="center"/>
      <protection hidden="1"/>
    </xf>
    <xf numFmtId="1" fontId="26" fillId="7" borderId="10" xfId="0" applyNumberFormat="1" applyFont="1" applyFill="1" applyBorder="1" applyAlignment="1" applyProtection="1">
      <alignment horizontal="center" vertical="center"/>
      <protection hidden="1"/>
    </xf>
    <xf numFmtId="1" fontId="17" fillId="7" borderId="33" xfId="0" applyNumberFormat="1" applyFont="1" applyFill="1" applyBorder="1" applyAlignment="1" applyProtection="1">
      <alignment horizontal="center" vertical="center"/>
      <protection hidden="1"/>
    </xf>
    <xf numFmtId="1" fontId="53" fillId="0" borderId="0" xfId="0" applyNumberFormat="1" applyFont="1" applyFill="1" applyBorder="1" applyAlignment="1" applyProtection="1">
      <alignment horizontal="center" vertical="center"/>
      <protection hidden="1"/>
    </xf>
    <xf numFmtId="0" fontId="101" fillId="0" borderId="0" xfId="1" applyFont="1" applyAlignment="1" applyProtection="1">
      <protection hidden="1"/>
    </xf>
    <xf numFmtId="0" fontId="102" fillId="0" borderId="0" xfId="0" applyFont="1" applyBorder="1" applyAlignment="1" applyProtection="1">
      <alignment horizontal="center" vertical="center"/>
      <protection hidden="1"/>
    </xf>
    <xf numFmtId="0" fontId="102" fillId="0" borderId="0" xfId="0" applyFont="1" applyProtection="1">
      <protection hidden="1"/>
    </xf>
    <xf numFmtId="0" fontId="103" fillId="0" borderId="0" xfId="1" applyFont="1" applyAlignment="1" applyProtection="1">
      <protection hidden="1"/>
    </xf>
    <xf numFmtId="0" fontId="104" fillId="0" borderId="0" xfId="1" applyFont="1" applyAlignment="1" applyProtection="1">
      <protection hidden="1"/>
    </xf>
    <xf numFmtId="0" fontId="104" fillId="0" borderId="0" xfId="1" applyFont="1" applyAlignment="1" applyProtection="1">
      <alignment horizontal="center" vertical="center"/>
      <protection hidden="1"/>
    </xf>
    <xf numFmtId="0" fontId="60" fillId="0" borderId="0" xfId="0" applyFont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 wrapText="1"/>
      <protection hidden="1"/>
    </xf>
    <xf numFmtId="0" fontId="21" fillId="3" borderId="23" xfId="0" applyFont="1" applyFill="1" applyBorder="1" applyAlignment="1" applyProtection="1">
      <alignment horizontal="center" vertical="center"/>
      <protection hidden="1"/>
    </xf>
    <xf numFmtId="0" fontId="19" fillId="7" borderId="20" xfId="0" applyFont="1" applyFill="1" applyBorder="1" applyAlignment="1" applyProtection="1">
      <alignment horizontal="center" vertical="center"/>
      <protection hidden="1"/>
    </xf>
    <xf numFmtId="9" fontId="19" fillId="7" borderId="32" xfId="0" applyNumberFormat="1" applyFont="1" applyFill="1" applyBorder="1" applyAlignment="1" applyProtection="1">
      <alignment horizontal="center" vertical="center"/>
      <protection hidden="1"/>
    </xf>
    <xf numFmtId="9" fontId="21" fillId="5" borderId="54" xfId="0" applyNumberFormat="1" applyFont="1" applyFill="1" applyBorder="1" applyAlignment="1" applyProtection="1">
      <alignment horizontal="center" vertical="center"/>
      <protection hidden="1"/>
    </xf>
    <xf numFmtId="0" fontId="21" fillId="7" borderId="52" xfId="0" applyFont="1" applyFill="1" applyBorder="1" applyAlignment="1" applyProtection="1">
      <alignment vertical="justify"/>
      <protection hidden="1"/>
    </xf>
    <xf numFmtId="3" fontId="16" fillId="5" borderId="13" xfId="0" applyNumberFormat="1" applyFont="1" applyFill="1" applyBorder="1" applyProtection="1">
      <protection hidden="1"/>
    </xf>
    <xf numFmtId="4" fontId="16" fillId="5" borderId="13" xfId="0" applyNumberFormat="1" applyFont="1" applyFill="1" applyBorder="1" applyProtection="1">
      <protection hidden="1"/>
    </xf>
    <xf numFmtId="10" fontId="21" fillId="7" borderId="74" xfId="0" applyNumberFormat="1" applyFont="1" applyFill="1" applyBorder="1" applyAlignment="1" applyProtection="1">
      <alignment horizontal="center"/>
      <protection hidden="1"/>
    </xf>
    <xf numFmtId="10" fontId="20" fillId="4" borderId="0" xfId="0" applyNumberFormat="1" applyFont="1" applyFill="1" applyAlignment="1" applyProtection="1">
      <alignment horizontal="center"/>
      <protection hidden="1"/>
    </xf>
    <xf numFmtId="0" fontId="16" fillId="4" borderId="0" xfId="0" applyFont="1" applyFill="1" applyAlignment="1" applyProtection="1">
      <alignment horizontal="center"/>
      <protection hidden="1"/>
    </xf>
    <xf numFmtId="0" fontId="16" fillId="4" borderId="0" xfId="0" applyFont="1" applyFill="1" applyProtection="1">
      <protection hidden="1"/>
    </xf>
    <xf numFmtId="0" fontId="19" fillId="7" borderId="32" xfId="0" applyFont="1" applyFill="1" applyBorder="1" applyAlignment="1" applyProtection="1">
      <alignment horizontal="center" vertical="center"/>
      <protection hidden="1"/>
    </xf>
    <xf numFmtId="1" fontId="58" fillId="10" borderId="26" xfId="0" applyNumberFormat="1" applyFont="1" applyFill="1" applyBorder="1" applyAlignment="1" applyProtection="1">
      <alignment horizontal="center" vertical="center"/>
      <protection hidden="1"/>
    </xf>
    <xf numFmtId="10" fontId="70" fillId="7" borderId="20" xfId="0" applyNumberFormat="1" applyFont="1" applyFill="1" applyBorder="1" applyProtection="1">
      <protection hidden="1"/>
    </xf>
    <xf numFmtId="10" fontId="70" fillId="4" borderId="0" xfId="0" applyNumberFormat="1" applyFont="1" applyFill="1" applyBorder="1" applyAlignment="1" applyProtection="1">
      <alignment horizontal="center"/>
      <protection hidden="1"/>
    </xf>
    <xf numFmtId="166" fontId="81" fillId="22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30" fillId="0" borderId="4" xfId="0" applyFont="1" applyBorder="1" applyAlignment="1" applyProtection="1">
      <alignment horizontal="center" vertical="center"/>
      <protection hidden="1"/>
    </xf>
    <xf numFmtId="1" fontId="17" fillId="0" borderId="4" xfId="0" applyNumberFormat="1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1" fontId="26" fillId="7" borderId="4" xfId="0" applyNumberFormat="1" applyFont="1" applyFill="1" applyBorder="1" applyAlignment="1" applyProtection="1">
      <alignment horizontal="center" vertical="center"/>
      <protection hidden="1"/>
    </xf>
    <xf numFmtId="0" fontId="17" fillId="0" borderId="7" xfId="0" applyFont="1" applyBorder="1" applyAlignment="1" applyProtection="1">
      <alignment horizontal="center" vertical="center"/>
      <protection hidden="1"/>
    </xf>
    <xf numFmtId="1" fontId="26" fillId="7" borderId="8" xfId="0" applyNumberFormat="1" applyFont="1" applyFill="1" applyBorder="1" applyAlignment="1" applyProtection="1">
      <alignment horizontal="center" vertical="center"/>
      <protection hidden="1"/>
    </xf>
    <xf numFmtId="166" fontId="81" fillId="4" borderId="0" xfId="0" applyNumberFormat="1" applyFont="1" applyFill="1" applyBorder="1" applyAlignment="1" applyProtection="1">
      <alignment horizontal="center" vertical="center"/>
      <protection hidden="1"/>
    </xf>
    <xf numFmtId="2" fontId="70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justify"/>
      <protection hidden="1"/>
    </xf>
    <xf numFmtId="0" fontId="19" fillId="0" borderId="6" xfId="0" applyFont="1" applyBorder="1" applyAlignment="1" applyProtection="1">
      <alignment horizontal="center" vertical="center"/>
      <protection hidden="1"/>
    </xf>
    <xf numFmtId="0" fontId="21" fillId="0" borderId="6" xfId="0" applyFont="1" applyBorder="1" applyAlignment="1" applyProtection="1">
      <alignment horizontal="center" vertical="center"/>
      <protection hidden="1"/>
    </xf>
    <xf numFmtId="0" fontId="6" fillId="0" borderId="6" xfId="0" applyFont="1" applyBorder="1" applyAlignment="1" applyProtection="1">
      <alignment horizontal="center" vertical="center"/>
      <protection hidden="1"/>
    </xf>
    <xf numFmtId="166" fontId="16" fillId="22" borderId="0" xfId="0" applyNumberFormat="1" applyFont="1" applyFill="1" applyProtection="1">
      <protection hidden="1"/>
    </xf>
    <xf numFmtId="9" fontId="16" fillId="22" borderId="0" xfId="0" applyNumberFormat="1" applyFont="1" applyFill="1" applyProtection="1">
      <protection hidden="1"/>
    </xf>
    <xf numFmtId="10" fontId="21" fillId="4" borderId="0" xfId="0" applyNumberFormat="1" applyFont="1" applyFill="1" applyBorder="1" applyAlignment="1" applyProtection="1">
      <alignment horizontal="center" vertical="justify"/>
      <protection hidden="1"/>
    </xf>
    <xf numFmtId="166" fontId="70" fillId="7" borderId="0" xfId="0" applyNumberFormat="1" applyFont="1" applyFill="1" applyBorder="1" applyProtection="1">
      <protection hidden="1"/>
    </xf>
    <xf numFmtId="10" fontId="70" fillId="7" borderId="0" xfId="0" applyNumberFormat="1" applyFont="1" applyFill="1" applyBorder="1" applyProtection="1">
      <protection hidden="1"/>
    </xf>
    <xf numFmtId="0" fontId="19" fillId="0" borderId="0" xfId="0" applyFont="1" applyAlignment="1" applyProtection="1">
      <alignment vertical="center"/>
      <protection hidden="1"/>
    </xf>
    <xf numFmtId="0" fontId="21" fillId="7" borderId="41" xfId="0" applyFont="1" applyFill="1" applyBorder="1" applyAlignment="1" applyProtection="1">
      <alignment vertical="justify"/>
      <protection hidden="1"/>
    </xf>
    <xf numFmtId="1" fontId="58" fillId="10" borderId="18" xfId="0" applyNumberFormat="1" applyFont="1" applyFill="1" applyBorder="1" applyAlignment="1" applyProtection="1">
      <alignment horizontal="center" vertical="center"/>
      <protection hidden="1"/>
    </xf>
    <xf numFmtId="166" fontId="20" fillId="10" borderId="4" xfId="0" applyNumberFormat="1" applyFont="1" applyFill="1" applyBorder="1" applyAlignment="1" applyProtection="1">
      <alignment horizontal="center" vertical="top"/>
      <protection hidden="1"/>
    </xf>
    <xf numFmtId="10" fontId="21" fillId="10" borderId="47" xfId="0" applyNumberFormat="1" applyFont="1" applyFill="1" applyBorder="1" applyAlignment="1" applyProtection="1">
      <alignment horizontal="center"/>
      <protection hidden="1"/>
    </xf>
    <xf numFmtId="10" fontId="76" fillId="7" borderId="50" xfId="0" applyNumberFormat="1" applyFont="1" applyFill="1" applyBorder="1" applyAlignment="1" applyProtection="1">
      <alignment horizontal="center"/>
      <protection hidden="1"/>
    </xf>
    <xf numFmtId="10" fontId="76" fillId="7" borderId="38" xfId="0" applyNumberFormat="1" applyFont="1" applyFill="1" applyBorder="1" applyAlignment="1" applyProtection="1">
      <alignment horizontal="center"/>
      <protection hidden="1"/>
    </xf>
    <xf numFmtId="10" fontId="76" fillId="4" borderId="41" xfId="0" applyNumberFormat="1" applyFont="1" applyFill="1" applyBorder="1" applyAlignment="1" applyProtection="1">
      <alignment horizontal="center"/>
      <protection hidden="1"/>
    </xf>
    <xf numFmtId="1" fontId="21" fillId="23" borderId="25" xfId="0" applyNumberFormat="1" applyFont="1" applyFill="1" applyBorder="1" applyAlignment="1" applyProtection="1">
      <alignment horizontal="right" vertical="center"/>
      <protection hidden="1"/>
    </xf>
    <xf numFmtId="0" fontId="21" fillId="0" borderId="27" xfId="0" applyFont="1" applyBorder="1" applyAlignment="1" applyProtection="1">
      <alignment horizontal="center" vertical="justify"/>
      <protection hidden="1"/>
    </xf>
    <xf numFmtId="0" fontId="21" fillId="0" borderId="24" xfId="0" applyFont="1" applyBorder="1" applyAlignment="1" applyProtection="1">
      <alignment vertical="justify"/>
      <protection hidden="1"/>
    </xf>
    <xf numFmtId="1" fontId="21" fillId="19" borderId="4" xfId="0" applyNumberFormat="1" applyFont="1" applyFill="1" applyBorder="1" applyAlignment="1" applyProtection="1">
      <alignment horizontal="center" vertical="center"/>
      <protection hidden="1"/>
    </xf>
    <xf numFmtId="10" fontId="21" fillId="7" borderId="13" xfId="0" applyNumberFormat="1" applyFont="1" applyFill="1" applyBorder="1" applyAlignment="1" applyProtection="1">
      <alignment horizontal="center"/>
      <protection hidden="1"/>
    </xf>
    <xf numFmtId="166" fontId="21" fillId="10" borderId="18" xfId="0" applyNumberFormat="1" applyFont="1" applyFill="1" applyBorder="1" applyAlignment="1" applyProtection="1">
      <alignment horizontal="center" vertical="center"/>
      <protection hidden="1"/>
    </xf>
    <xf numFmtId="1" fontId="21" fillId="21" borderId="6" xfId="0" applyNumberFormat="1" applyFont="1" applyFill="1" applyBorder="1" applyAlignment="1" applyProtection="1">
      <alignment horizontal="center" vertical="center"/>
      <protection hidden="1"/>
    </xf>
    <xf numFmtId="10" fontId="21" fillId="10" borderId="38" xfId="0" applyNumberFormat="1" applyFont="1" applyFill="1" applyBorder="1" applyAlignment="1" applyProtection="1">
      <alignment horizontal="center"/>
      <protection hidden="1"/>
    </xf>
    <xf numFmtId="10" fontId="76" fillId="7" borderId="37" xfId="0" applyNumberFormat="1" applyFont="1" applyFill="1" applyBorder="1" applyAlignment="1" applyProtection="1">
      <alignment horizontal="center"/>
      <protection hidden="1"/>
    </xf>
    <xf numFmtId="10" fontId="21" fillId="7" borderId="44" xfId="0" applyNumberFormat="1" applyFont="1" applyFill="1" applyBorder="1" applyAlignment="1" applyProtection="1">
      <alignment horizontal="center"/>
      <protection hidden="1"/>
    </xf>
    <xf numFmtId="166" fontId="21" fillId="10" borderId="7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NumberFormat="1" applyFont="1" applyAlignment="1" applyProtection="1">
      <alignment horizontal="center"/>
      <protection hidden="1"/>
    </xf>
    <xf numFmtId="0" fontId="19" fillId="0" borderId="0" xfId="0" applyNumberFormat="1" applyFont="1" applyAlignment="1" applyProtection="1">
      <alignment horizontal="center"/>
      <protection hidden="1"/>
    </xf>
    <xf numFmtId="0" fontId="19" fillId="0" borderId="0" xfId="0" applyNumberFormat="1" applyFont="1" applyAlignment="1" applyProtection="1">
      <alignment horizontal="center" vertical="center"/>
      <protection hidden="1"/>
    </xf>
    <xf numFmtId="0" fontId="21" fillId="21" borderId="0" xfId="0" applyNumberFormat="1" applyFont="1" applyFill="1" applyAlignment="1" applyProtection="1">
      <alignment horizontal="center" vertical="center"/>
      <protection hidden="1"/>
    </xf>
    <xf numFmtId="0" fontId="21" fillId="24" borderId="20" xfId="0" applyNumberFormat="1" applyFont="1" applyFill="1" applyBorder="1" applyAlignment="1" applyProtection="1">
      <alignment horizontal="center"/>
      <protection hidden="1"/>
    </xf>
    <xf numFmtId="10" fontId="29" fillId="24" borderId="41" xfId="0" applyNumberFormat="1" applyFont="1" applyFill="1" applyBorder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10" fontId="29" fillId="7" borderId="0" xfId="0" applyNumberFormat="1" applyFont="1" applyFill="1" applyAlignment="1" applyProtection="1">
      <alignment horizontal="center"/>
      <protection hidden="1"/>
    </xf>
    <xf numFmtId="10" fontId="29" fillId="29" borderId="10" xfId="0" applyNumberFormat="1" applyFont="1" applyFill="1" applyBorder="1" applyAlignment="1" applyProtection="1">
      <alignment horizontal="center"/>
      <protection hidden="1"/>
    </xf>
    <xf numFmtId="166" fontId="29" fillId="29" borderId="51" xfId="0" applyNumberFormat="1" applyFont="1" applyFill="1" applyBorder="1" applyAlignment="1" applyProtection="1">
      <alignment horizontal="center"/>
      <protection hidden="1"/>
    </xf>
    <xf numFmtId="10" fontId="29" fillId="29" borderId="32" xfId="0" applyNumberFormat="1" applyFont="1" applyFill="1" applyBorder="1" applyAlignment="1" applyProtection="1">
      <alignment horizont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justify" vertical="justify"/>
      <protection hidden="1"/>
    </xf>
    <xf numFmtId="0" fontId="105" fillId="0" borderId="0" xfId="0" applyFont="1" applyAlignment="1" applyProtection="1">
      <alignment vertical="center"/>
      <protection hidden="1"/>
    </xf>
    <xf numFmtId="0" fontId="38" fillId="0" borderId="0" xfId="0" applyFont="1" applyProtection="1">
      <protection hidden="1"/>
    </xf>
    <xf numFmtId="9" fontId="25" fillId="7" borderId="23" xfId="0" applyNumberFormat="1" applyFont="1" applyFill="1" applyBorder="1" applyAlignment="1" applyProtection="1">
      <alignment horizontal="center" vertical="center"/>
      <protection hidden="1"/>
    </xf>
    <xf numFmtId="9" fontId="32" fillId="5" borderId="32" xfId="0" applyNumberFormat="1" applyFont="1" applyFill="1" applyBorder="1" applyAlignment="1" applyProtection="1">
      <alignment horizontal="center" vertical="center"/>
      <protection hidden="1"/>
    </xf>
    <xf numFmtId="10" fontId="21" fillId="23" borderId="36" xfId="0" applyNumberFormat="1" applyFont="1" applyFill="1" applyBorder="1" applyAlignment="1" applyProtection="1">
      <alignment horizontal="center"/>
      <protection hidden="1"/>
    </xf>
    <xf numFmtId="0" fontId="33" fillId="0" borderId="11" xfId="0" applyFont="1" applyBorder="1" applyAlignment="1" applyProtection="1">
      <alignment horizontal="center"/>
      <protection hidden="1"/>
    </xf>
    <xf numFmtId="0" fontId="33" fillId="0" borderId="14" xfId="0" applyFont="1" applyBorder="1" applyAlignment="1" applyProtection="1">
      <alignment horizontal="center" vertical="center"/>
      <protection hidden="1"/>
    </xf>
    <xf numFmtId="1" fontId="33" fillId="0" borderId="14" xfId="0" applyNumberFormat="1" applyFont="1" applyBorder="1" applyAlignment="1" applyProtection="1">
      <alignment horizontal="center" vertical="center"/>
      <protection hidden="1"/>
    </xf>
    <xf numFmtId="1" fontId="33" fillId="3" borderId="14" xfId="0" applyNumberFormat="1" applyFont="1" applyFill="1" applyBorder="1" applyAlignment="1" applyProtection="1">
      <alignment horizontal="center" vertical="center"/>
      <protection hidden="1"/>
    </xf>
    <xf numFmtId="1" fontId="25" fillId="7" borderId="72" xfId="0" applyNumberFormat="1" applyFont="1" applyFill="1" applyBorder="1" applyAlignment="1" applyProtection="1">
      <alignment horizontal="center" vertical="center"/>
      <protection hidden="1"/>
    </xf>
    <xf numFmtId="1" fontId="32" fillId="5" borderId="48" xfId="0" applyNumberFormat="1" applyFont="1" applyFill="1" applyBorder="1" applyAlignment="1" applyProtection="1">
      <alignment horizontal="center" vertical="center"/>
      <protection hidden="1"/>
    </xf>
    <xf numFmtId="3" fontId="29" fillId="24" borderId="6" xfId="0" applyNumberFormat="1" applyFont="1" applyFill="1" applyBorder="1" applyAlignment="1" applyProtection="1">
      <alignment horizontal="center"/>
      <protection hidden="1"/>
    </xf>
    <xf numFmtId="0" fontId="47" fillId="0" borderId="0" xfId="0" applyFont="1" applyProtection="1"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0" fontId="48" fillId="0" borderId="0" xfId="0" applyFont="1" applyProtection="1">
      <protection hidden="1"/>
    </xf>
    <xf numFmtId="0" fontId="25" fillId="0" borderId="1" xfId="0" applyFont="1" applyBorder="1" applyAlignment="1" applyProtection="1">
      <alignment horizontal="center"/>
      <protection hidden="1"/>
    </xf>
    <xf numFmtId="0" fontId="47" fillId="0" borderId="2" xfId="0" applyFont="1" applyBorder="1" applyAlignment="1" applyProtection="1">
      <alignment horizontal="center" vertical="center"/>
      <protection hidden="1"/>
    </xf>
    <xf numFmtId="0" fontId="25" fillId="0" borderId="2" xfId="0" applyFont="1" applyBorder="1" applyAlignment="1" applyProtection="1">
      <alignment horizontal="center" vertical="center"/>
      <protection hidden="1"/>
    </xf>
    <xf numFmtId="0" fontId="26" fillId="0" borderId="3" xfId="0" applyFont="1" applyBorder="1" applyAlignment="1" applyProtection="1">
      <alignment horizontal="center"/>
      <protection hidden="1"/>
    </xf>
    <xf numFmtId="0" fontId="48" fillId="0" borderId="4" xfId="0" applyFont="1" applyBorder="1" applyAlignment="1" applyProtection="1">
      <alignment horizontal="center" vertical="center"/>
      <protection hidden="1"/>
    </xf>
    <xf numFmtId="1" fontId="26" fillId="0" borderId="4" xfId="0" applyNumberFormat="1" applyFont="1" applyBorder="1" applyAlignment="1" applyProtection="1">
      <alignment horizontal="center" vertical="center"/>
      <protection hidden="1"/>
    </xf>
    <xf numFmtId="0" fontId="26" fillId="0" borderId="4" xfId="0" applyFont="1" applyBorder="1" applyAlignment="1" applyProtection="1">
      <alignment horizontal="center" vertical="center"/>
      <protection hidden="1"/>
    </xf>
    <xf numFmtId="0" fontId="26" fillId="0" borderId="7" xfId="0" applyFont="1" applyBorder="1" applyAlignment="1" applyProtection="1">
      <alignment horizontal="center"/>
      <protection hidden="1"/>
    </xf>
    <xf numFmtId="0" fontId="48" fillId="0" borderId="8" xfId="0" applyFont="1" applyBorder="1" applyAlignment="1" applyProtection="1">
      <alignment horizontal="center" vertical="center"/>
      <protection hidden="1"/>
    </xf>
    <xf numFmtId="1" fontId="26" fillId="0" borderId="8" xfId="0" applyNumberFormat="1" applyFont="1" applyBorder="1" applyAlignment="1" applyProtection="1">
      <alignment horizontal="center" vertical="center"/>
      <protection hidden="1"/>
    </xf>
    <xf numFmtId="0" fontId="26" fillId="0" borderId="8" xfId="0" applyFont="1" applyBorder="1" applyAlignment="1" applyProtection="1">
      <alignment horizontal="center" vertical="center"/>
      <protection hidden="1"/>
    </xf>
    <xf numFmtId="0" fontId="52" fillId="0" borderId="0" xfId="0" applyFont="1" applyProtection="1">
      <protection hidden="1"/>
    </xf>
    <xf numFmtId="0" fontId="19" fillId="0" borderId="25" xfId="0" applyFont="1" applyBorder="1" applyAlignment="1" applyProtection="1">
      <alignment horizontal="center" vertical="center"/>
      <protection hidden="1"/>
    </xf>
    <xf numFmtId="0" fontId="26" fillId="0" borderId="9" xfId="0" applyFont="1" applyBorder="1" applyAlignment="1" applyProtection="1">
      <alignment horizontal="center" vertical="center"/>
      <protection hidden="1"/>
    </xf>
    <xf numFmtId="1" fontId="17" fillId="0" borderId="25" xfId="0" applyNumberFormat="1" applyFont="1" applyBorder="1" applyAlignment="1" applyProtection="1">
      <alignment horizontal="center" vertical="center"/>
      <protection hidden="1"/>
    </xf>
    <xf numFmtId="1" fontId="25" fillId="0" borderId="10" xfId="0" applyNumberFormat="1" applyFont="1" applyBorder="1" applyAlignment="1" applyProtection="1">
      <alignment horizontal="center" vertical="center"/>
      <protection hidden="1"/>
    </xf>
    <xf numFmtId="1" fontId="17" fillId="3" borderId="10" xfId="0" applyNumberFormat="1" applyFont="1" applyFill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105" fillId="0" borderId="0" xfId="0" applyFont="1" applyAlignment="1" applyProtection="1">
      <alignment horizontal="center" vertical="center"/>
      <protection hidden="1"/>
    </xf>
    <xf numFmtId="1" fontId="33" fillId="0" borderId="0" xfId="0" applyNumberFormat="1" applyFont="1" applyAlignment="1" applyProtection="1">
      <alignment horizontal="justify" vertical="justify"/>
      <protection hidden="1"/>
    </xf>
    <xf numFmtId="166" fontId="33" fillId="0" borderId="0" xfId="0" applyNumberFormat="1" applyFont="1" applyAlignment="1" applyProtection="1">
      <alignment horizontal="justify" vertical="justify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32" fillId="3" borderId="21" xfId="0" applyFont="1" applyFill="1" applyBorder="1" applyAlignment="1" applyProtection="1">
      <alignment horizontal="center" vertical="center"/>
      <protection hidden="1"/>
    </xf>
    <xf numFmtId="0" fontId="25" fillId="7" borderId="9" xfId="0" applyFont="1" applyFill="1" applyBorder="1" applyAlignment="1" applyProtection="1">
      <alignment horizontal="center" vertical="center"/>
      <protection hidden="1"/>
    </xf>
    <xf numFmtId="0" fontId="25" fillId="7" borderId="10" xfId="0" applyFont="1" applyFill="1" applyBorder="1" applyAlignment="1" applyProtection="1">
      <alignment horizontal="center" vertical="center"/>
      <protection hidden="1"/>
    </xf>
    <xf numFmtId="9" fontId="32" fillId="5" borderId="52" xfId="0" applyNumberFormat="1" applyFont="1" applyFill="1" applyBorder="1" applyAlignment="1" applyProtection="1">
      <alignment horizontal="center" vertical="center"/>
      <protection hidden="1"/>
    </xf>
    <xf numFmtId="0" fontId="33" fillId="0" borderId="3" xfId="0" applyFont="1" applyBorder="1" applyAlignment="1" applyProtection="1">
      <alignment horizontal="center"/>
      <protection hidden="1"/>
    </xf>
    <xf numFmtId="0" fontId="33" fillId="0" borderId="4" xfId="0" applyFont="1" applyBorder="1" applyAlignment="1" applyProtection="1">
      <alignment horizontal="center" vertical="center"/>
      <protection hidden="1"/>
    </xf>
    <xf numFmtId="1" fontId="33" fillId="0" borderId="4" xfId="0" applyNumberFormat="1" applyFont="1" applyBorder="1" applyAlignment="1" applyProtection="1">
      <alignment horizontal="center" vertical="center"/>
      <protection hidden="1"/>
    </xf>
    <xf numFmtId="1" fontId="33" fillId="3" borderId="4" xfId="0" applyNumberFormat="1" applyFont="1" applyFill="1" applyBorder="1" applyAlignment="1" applyProtection="1">
      <alignment horizontal="center" vertical="center"/>
      <protection hidden="1"/>
    </xf>
    <xf numFmtId="1" fontId="25" fillId="7" borderId="50" xfId="0" applyNumberFormat="1" applyFont="1" applyFill="1" applyBorder="1" applyAlignment="1" applyProtection="1">
      <alignment horizontal="center" vertical="center"/>
      <protection hidden="1"/>
    </xf>
    <xf numFmtId="1" fontId="32" fillId="5" borderId="33" xfId="0" applyNumberFormat="1" applyFont="1" applyFill="1" applyBorder="1" applyAlignment="1" applyProtection="1">
      <alignment horizontal="center" vertical="center"/>
      <protection hidden="1"/>
    </xf>
    <xf numFmtId="10" fontId="20" fillId="10" borderId="50" xfId="0" applyNumberFormat="1" applyFont="1" applyFill="1" applyBorder="1" applyAlignment="1" applyProtection="1">
      <alignment horizontal="center"/>
      <protection hidden="1"/>
    </xf>
    <xf numFmtId="10" fontId="32" fillId="25" borderId="13" xfId="0" applyNumberFormat="1" applyFont="1" applyFill="1" applyBorder="1" applyAlignment="1" applyProtection="1">
      <alignment horizontal="center"/>
      <protection hidden="1"/>
    </xf>
    <xf numFmtId="4" fontId="16" fillId="4" borderId="6" xfId="0" applyNumberFormat="1" applyFont="1" applyFill="1" applyBorder="1" applyProtection="1">
      <protection hidden="1"/>
    </xf>
    <xf numFmtId="0" fontId="33" fillId="0" borderId="5" xfId="0" applyFont="1" applyBorder="1" applyAlignment="1" applyProtection="1">
      <alignment horizontal="center"/>
      <protection hidden="1"/>
    </xf>
    <xf numFmtId="0" fontId="33" fillId="0" borderId="6" xfId="0" applyFont="1" applyBorder="1" applyAlignment="1" applyProtection="1">
      <alignment horizontal="center" vertical="center"/>
      <protection hidden="1"/>
    </xf>
    <xf numFmtId="1" fontId="33" fillId="0" borderId="6" xfId="0" applyNumberFormat="1" applyFont="1" applyBorder="1" applyAlignment="1" applyProtection="1">
      <alignment horizontal="center" vertical="center"/>
      <protection hidden="1"/>
    </xf>
    <xf numFmtId="1" fontId="33" fillId="3" borderId="6" xfId="0" applyNumberFormat="1" applyFont="1" applyFill="1" applyBorder="1" applyAlignment="1" applyProtection="1">
      <alignment horizontal="center" vertical="center"/>
      <protection hidden="1"/>
    </xf>
    <xf numFmtId="1" fontId="32" fillId="5" borderId="34" xfId="0" applyNumberFormat="1" applyFont="1" applyFill="1" applyBorder="1" applyAlignment="1" applyProtection="1">
      <alignment horizontal="center" vertical="center"/>
      <protection hidden="1"/>
    </xf>
    <xf numFmtId="0" fontId="33" fillId="0" borderId="8" xfId="0" applyFont="1" applyBorder="1" applyAlignment="1" applyProtection="1">
      <alignment horizontal="center" vertical="center"/>
      <protection hidden="1"/>
    </xf>
    <xf numFmtId="1" fontId="33" fillId="0" borderId="8" xfId="0" applyNumberFormat="1" applyFont="1" applyBorder="1" applyAlignment="1" applyProtection="1">
      <alignment horizontal="center" vertical="center"/>
      <protection hidden="1"/>
    </xf>
    <xf numFmtId="1" fontId="33" fillId="3" borderId="8" xfId="0" applyNumberFormat="1" applyFont="1" applyFill="1" applyBorder="1" applyAlignment="1" applyProtection="1">
      <alignment horizontal="center" vertical="center"/>
      <protection hidden="1"/>
    </xf>
    <xf numFmtId="1" fontId="32" fillId="5" borderId="35" xfId="0" applyNumberFormat="1" applyFont="1" applyFill="1" applyBorder="1" applyAlignment="1" applyProtection="1">
      <alignment horizontal="center" vertical="center"/>
      <protection hidden="1"/>
    </xf>
    <xf numFmtId="10" fontId="20" fillId="4" borderId="41" xfId="0" applyNumberFormat="1" applyFont="1" applyFill="1" applyBorder="1" applyAlignment="1" applyProtection="1">
      <alignment horizontal="center"/>
      <protection hidden="1"/>
    </xf>
    <xf numFmtId="10" fontId="29" fillId="12" borderId="0" xfId="0" applyNumberFormat="1" applyFont="1" applyFill="1" applyProtection="1">
      <protection hidden="1"/>
    </xf>
    <xf numFmtId="10" fontId="29" fillId="12" borderId="0" xfId="0" applyNumberFormat="1" applyFont="1" applyFill="1" applyBorder="1" applyAlignment="1" applyProtection="1">
      <alignment horizontal="center"/>
      <protection hidden="1"/>
    </xf>
    <xf numFmtId="0" fontId="25" fillId="7" borderId="32" xfId="0" applyFont="1" applyFill="1" applyBorder="1" applyAlignment="1" applyProtection="1">
      <alignment horizontal="center" vertical="center"/>
      <protection hidden="1"/>
    </xf>
    <xf numFmtId="1" fontId="25" fillId="7" borderId="13" xfId="0" applyNumberFormat="1" applyFont="1" applyFill="1" applyBorder="1" applyAlignment="1" applyProtection="1">
      <alignment horizontal="center" vertical="center"/>
      <protection hidden="1"/>
    </xf>
    <xf numFmtId="0" fontId="26" fillId="0" borderId="5" xfId="0" applyFont="1" applyBorder="1" applyAlignment="1" applyProtection="1">
      <alignment horizontal="center"/>
      <protection hidden="1"/>
    </xf>
    <xf numFmtId="0" fontId="48" fillId="0" borderId="6" xfId="0" applyFont="1" applyBorder="1" applyAlignment="1" applyProtection="1">
      <alignment horizontal="center" vertical="center"/>
      <protection hidden="1"/>
    </xf>
    <xf numFmtId="1" fontId="26" fillId="0" borderId="6" xfId="0" applyNumberFormat="1" applyFont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 vertical="center"/>
      <protection hidden="1"/>
    </xf>
    <xf numFmtId="1" fontId="25" fillId="7" borderId="6" xfId="0" applyNumberFormat="1" applyFont="1" applyFill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left" vertical="justify"/>
      <protection hidden="1"/>
    </xf>
    <xf numFmtId="0" fontId="21" fillId="7" borderId="3" xfId="0" applyFont="1" applyFill="1" applyBorder="1" applyAlignment="1" applyProtection="1">
      <alignment vertical="justify"/>
      <protection hidden="1"/>
    </xf>
    <xf numFmtId="10" fontId="21" fillId="0" borderId="54" xfId="0" applyNumberFormat="1" applyFont="1" applyBorder="1" applyAlignment="1" applyProtection="1">
      <alignment horizontal="center" vertical="justify"/>
      <protection hidden="1"/>
    </xf>
    <xf numFmtId="1" fontId="25" fillId="7" borderId="39" xfId="0" applyNumberFormat="1" applyFont="1" applyFill="1" applyBorder="1" applyAlignment="1" applyProtection="1">
      <alignment horizontal="center" vertical="center"/>
      <protection hidden="1"/>
    </xf>
    <xf numFmtId="1" fontId="32" fillId="5" borderId="47" xfId="0" applyNumberFormat="1" applyFont="1" applyFill="1" applyBorder="1" applyAlignment="1" applyProtection="1">
      <alignment horizontal="center" vertical="center"/>
      <protection hidden="1"/>
    </xf>
    <xf numFmtId="1" fontId="58" fillId="10" borderId="25" xfId="0" applyNumberFormat="1" applyFont="1" applyFill="1" applyBorder="1" applyAlignment="1" applyProtection="1">
      <alignment horizontal="center" vertical="top"/>
      <protection hidden="1"/>
    </xf>
    <xf numFmtId="166" fontId="76" fillId="10" borderId="10" xfId="0" applyNumberFormat="1" applyFont="1" applyFill="1" applyBorder="1" applyAlignment="1" applyProtection="1">
      <alignment horizontal="center" vertical="top"/>
      <protection hidden="1"/>
    </xf>
    <xf numFmtId="10" fontId="21" fillId="10" borderId="23" xfId="0" applyNumberFormat="1" applyFont="1" applyFill="1" applyBorder="1" applyAlignment="1" applyProtection="1">
      <alignment horizontal="center"/>
      <protection hidden="1"/>
    </xf>
    <xf numFmtId="10" fontId="21" fillId="7" borderId="64" xfId="0" applyNumberFormat="1" applyFont="1" applyFill="1" applyBorder="1" applyAlignment="1" applyProtection="1">
      <alignment horizontal="center"/>
      <protection hidden="1"/>
    </xf>
    <xf numFmtId="0" fontId="33" fillId="0" borderId="7" xfId="0" applyFont="1" applyBorder="1" applyAlignment="1" applyProtection="1">
      <alignment horizontal="center"/>
      <protection hidden="1"/>
    </xf>
    <xf numFmtId="1" fontId="33" fillId="0" borderId="0" xfId="0" applyNumberFormat="1" applyFont="1" applyFill="1" applyBorder="1" applyAlignment="1" applyProtection="1">
      <alignment horizontal="right" vertical="top"/>
      <protection hidden="1"/>
    </xf>
    <xf numFmtId="1" fontId="33" fillId="0" borderId="0" xfId="0" applyNumberFormat="1" applyFont="1" applyFill="1" applyBorder="1" applyAlignment="1" applyProtection="1">
      <alignment horizontal="center" vertical="top"/>
      <protection hidden="1"/>
    </xf>
    <xf numFmtId="166" fontId="76" fillId="0" borderId="0" xfId="0" applyNumberFormat="1" applyFont="1" applyFill="1" applyBorder="1" applyAlignment="1" applyProtection="1">
      <alignment horizontal="center" vertical="top"/>
      <protection hidden="1"/>
    </xf>
    <xf numFmtId="2" fontId="32" fillId="0" borderId="0" xfId="0" applyNumberFormat="1" applyFont="1" applyFill="1" applyBorder="1" applyAlignment="1" applyProtection="1">
      <alignment horizontal="center" vertical="top" wrapText="1"/>
      <protection hidden="1"/>
    </xf>
    <xf numFmtId="10" fontId="20" fillId="0" borderId="0" xfId="0" applyNumberFormat="1" applyFont="1" applyFill="1" applyBorder="1" applyAlignment="1" applyProtection="1">
      <alignment horizontal="center"/>
      <protection hidden="1"/>
    </xf>
    <xf numFmtId="10" fontId="21" fillId="7" borderId="67" xfId="0" applyNumberFormat="1" applyFont="1" applyFill="1" applyBorder="1" applyAlignment="1" applyProtection="1">
      <alignment horizontal="center"/>
      <protection hidden="1"/>
    </xf>
    <xf numFmtId="0" fontId="33" fillId="0" borderId="0" xfId="0" applyFont="1" applyBorder="1" applyAlignment="1" applyProtection="1">
      <alignment horizontal="center" vertical="center"/>
      <protection hidden="1"/>
    </xf>
    <xf numFmtId="1" fontId="33" fillId="0" borderId="0" xfId="0" applyNumberFormat="1" applyFont="1" applyBorder="1" applyAlignment="1" applyProtection="1">
      <alignment horizontal="center" vertical="center"/>
      <protection hidden="1"/>
    </xf>
    <xf numFmtId="1" fontId="33" fillId="12" borderId="0" xfId="0" applyNumberFormat="1" applyFont="1" applyFill="1" applyBorder="1" applyAlignment="1" applyProtection="1">
      <alignment horizontal="center" vertical="center"/>
      <protection hidden="1"/>
    </xf>
    <xf numFmtId="1" fontId="25" fillId="12" borderId="0" xfId="0" applyNumberFormat="1" applyFont="1" applyFill="1" applyBorder="1" applyAlignment="1" applyProtection="1">
      <alignment horizontal="center" vertical="center"/>
      <protection hidden="1"/>
    </xf>
    <xf numFmtId="1" fontId="32" fillId="12" borderId="0" xfId="0" applyNumberFormat="1" applyFont="1" applyFill="1" applyBorder="1" applyAlignment="1" applyProtection="1">
      <alignment horizontal="center" vertical="center"/>
      <protection hidden="1"/>
    </xf>
    <xf numFmtId="1" fontId="33" fillId="12" borderId="0" xfId="0" applyNumberFormat="1" applyFont="1" applyFill="1" applyBorder="1" applyAlignment="1" applyProtection="1">
      <alignment horizontal="right" vertical="top"/>
      <protection hidden="1"/>
    </xf>
    <xf numFmtId="1" fontId="33" fillId="12" borderId="0" xfId="0" applyNumberFormat="1" applyFont="1" applyFill="1" applyBorder="1" applyAlignment="1" applyProtection="1">
      <alignment horizontal="center" vertical="top"/>
      <protection hidden="1"/>
    </xf>
    <xf numFmtId="166" fontId="76" fillId="12" borderId="0" xfId="0" applyNumberFormat="1" applyFont="1" applyFill="1" applyBorder="1" applyAlignment="1" applyProtection="1">
      <alignment horizontal="center" vertical="top"/>
      <protection hidden="1"/>
    </xf>
    <xf numFmtId="2" fontId="32" fillId="12" borderId="0" xfId="0" applyNumberFormat="1" applyFont="1" applyFill="1" applyBorder="1" applyAlignment="1" applyProtection="1">
      <alignment horizontal="center" vertical="top" wrapText="1"/>
      <protection hidden="1"/>
    </xf>
    <xf numFmtId="10" fontId="20" fillId="12" borderId="0" xfId="0" applyNumberFormat="1" applyFont="1" applyFill="1" applyBorder="1" applyAlignment="1" applyProtection="1">
      <alignment horizontal="center"/>
      <protection hidden="1"/>
    </xf>
    <xf numFmtId="166" fontId="20" fillId="12" borderId="0" xfId="0" applyNumberFormat="1" applyFont="1" applyFill="1" applyBorder="1" applyAlignment="1" applyProtection="1">
      <alignment horizontal="center" vertical="center"/>
      <protection hidden="1"/>
    </xf>
    <xf numFmtId="2" fontId="21" fillId="12" borderId="0" xfId="0" applyNumberFormat="1" applyFont="1" applyFill="1" applyBorder="1" applyAlignment="1" applyProtection="1">
      <alignment horizontal="center"/>
      <protection hidden="1"/>
    </xf>
    <xf numFmtId="10" fontId="21" fillId="12" borderId="0" xfId="0" applyNumberFormat="1" applyFont="1" applyFill="1" applyBorder="1" applyAlignment="1" applyProtection="1">
      <alignment horizontal="center"/>
      <protection hidden="1"/>
    </xf>
    <xf numFmtId="166" fontId="21" fillId="12" borderId="0" xfId="0" applyNumberFormat="1" applyFont="1" applyFill="1" applyBorder="1" applyAlignment="1" applyProtection="1">
      <alignment horizontal="center"/>
      <protection hidden="1"/>
    </xf>
    <xf numFmtId="10" fontId="16" fillId="0" borderId="0" xfId="0" applyNumberFormat="1" applyFont="1" applyBorder="1" applyProtection="1">
      <protection hidden="1"/>
    </xf>
    <xf numFmtId="3" fontId="16" fillId="4" borderId="0" xfId="0" applyNumberFormat="1" applyFont="1" applyFill="1" applyBorder="1" applyAlignment="1" applyProtection="1">
      <alignment horizontal="center"/>
      <protection hidden="1"/>
    </xf>
    <xf numFmtId="4" fontId="16" fillId="0" borderId="0" xfId="0" applyNumberFormat="1" applyFont="1" applyBorder="1" applyProtection="1">
      <protection hidden="1"/>
    </xf>
    <xf numFmtId="10" fontId="16" fillId="4" borderId="0" xfId="0" applyNumberFormat="1" applyFont="1" applyFill="1" applyBorder="1" applyProtection="1">
      <protection hidden="1"/>
    </xf>
    <xf numFmtId="10" fontId="16" fillId="4" borderId="0" xfId="0" applyNumberFormat="1" applyFont="1" applyFill="1" applyBorder="1" applyAlignment="1" applyProtection="1">
      <alignment horizontal="center"/>
      <protection hidden="1"/>
    </xf>
    <xf numFmtId="1" fontId="26" fillId="3" borderId="4" xfId="0" applyNumberFormat="1" applyFont="1" applyFill="1" applyBorder="1" applyAlignment="1" applyProtection="1">
      <alignment horizontal="center" vertical="center"/>
      <protection hidden="1"/>
    </xf>
    <xf numFmtId="1" fontId="17" fillId="5" borderId="47" xfId="0" applyNumberFormat="1" applyFont="1" applyFill="1" applyBorder="1" applyAlignment="1" applyProtection="1">
      <alignment horizontal="center" vertical="center"/>
      <protection hidden="1"/>
    </xf>
    <xf numFmtId="1" fontId="26" fillId="3" borderId="8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Border="1" applyAlignment="1" applyProtection="1">
      <alignment horizontal="center"/>
      <protection hidden="1"/>
    </xf>
    <xf numFmtId="0" fontId="48" fillId="0" borderId="0" xfId="0" applyFont="1" applyBorder="1" applyAlignment="1" applyProtection="1">
      <alignment horizontal="center" vertical="center"/>
      <protection hidden="1"/>
    </xf>
    <xf numFmtId="1" fontId="26" fillId="0" borderId="0" xfId="0" applyNumberFormat="1" applyFont="1" applyBorder="1" applyAlignment="1" applyProtection="1">
      <alignment horizontal="center" vertical="center"/>
      <protection hidden="1"/>
    </xf>
    <xf numFmtId="0" fontId="26" fillId="0" borderId="0" xfId="0" applyFont="1" applyBorder="1" applyAlignment="1" applyProtection="1">
      <alignment horizontal="center" vertical="center"/>
      <protection hidden="1"/>
    </xf>
    <xf numFmtId="1" fontId="26" fillId="0" borderId="0" xfId="0" applyNumberFormat="1" applyFont="1" applyFill="1" applyBorder="1" applyAlignment="1" applyProtection="1">
      <alignment horizontal="center" vertical="center"/>
      <protection hidden="1"/>
    </xf>
    <xf numFmtId="10" fontId="29" fillId="7" borderId="41" xfId="0" applyNumberFormat="1" applyFont="1" applyFill="1" applyBorder="1" applyAlignment="1" applyProtection="1">
      <alignment horizontal="center"/>
      <protection hidden="1"/>
    </xf>
    <xf numFmtId="0" fontId="21" fillId="0" borderId="20" xfId="0" applyFont="1" applyBorder="1" applyAlignment="1" applyProtection="1">
      <alignment horizontal="center"/>
      <protection hidden="1"/>
    </xf>
    <xf numFmtId="0" fontId="21" fillId="0" borderId="21" xfId="0" applyFont="1" applyBorder="1" applyAlignment="1" applyProtection="1">
      <alignment vertical="justify"/>
      <protection hidden="1"/>
    </xf>
    <xf numFmtId="0" fontId="20" fillId="0" borderId="12" xfId="0" applyFont="1" applyFill="1" applyBorder="1" applyAlignment="1" applyProtection="1">
      <alignment horizontal="left" vertical="center"/>
      <protection hidden="1"/>
    </xf>
    <xf numFmtId="0" fontId="33" fillId="0" borderId="6" xfId="0" applyFont="1" applyBorder="1" applyProtection="1">
      <protection hidden="1"/>
    </xf>
    <xf numFmtId="0" fontId="33" fillId="0" borderId="6" xfId="0" applyFont="1" applyBorder="1" applyAlignment="1" applyProtection="1">
      <alignment horizontal="center"/>
      <protection hidden="1"/>
    </xf>
    <xf numFmtId="0" fontId="106" fillId="0" borderId="6" xfId="0" applyFont="1" applyBorder="1" applyAlignment="1" applyProtection="1">
      <alignment horizontal="center"/>
      <protection hidden="1"/>
    </xf>
    <xf numFmtId="0" fontId="88" fillId="3" borderId="13" xfId="0" applyFont="1" applyFill="1" applyBorder="1" applyAlignment="1" applyProtection="1">
      <alignment horizontal="center"/>
      <protection hidden="1"/>
    </xf>
    <xf numFmtId="1" fontId="19" fillId="7" borderId="50" xfId="0" applyNumberFormat="1" applyFont="1" applyFill="1" applyBorder="1" applyAlignment="1" applyProtection="1">
      <alignment horizontal="center"/>
      <protection hidden="1"/>
    </xf>
    <xf numFmtId="2" fontId="19" fillId="7" borderId="50" xfId="0" applyNumberFormat="1" applyFont="1" applyFill="1" applyBorder="1" applyAlignment="1" applyProtection="1">
      <alignment horizontal="center" vertical="center"/>
      <protection hidden="1"/>
    </xf>
    <xf numFmtId="1" fontId="21" fillId="5" borderId="50" xfId="0" applyNumberFormat="1" applyFont="1" applyFill="1" applyBorder="1" applyAlignment="1" applyProtection="1">
      <alignment horizontal="center" vertical="center"/>
      <protection hidden="1"/>
    </xf>
    <xf numFmtId="166" fontId="76" fillId="10" borderId="6" xfId="0" applyNumberFormat="1" applyFont="1" applyFill="1" applyBorder="1" applyAlignment="1" applyProtection="1">
      <alignment horizontal="center" vertical="center"/>
      <protection hidden="1"/>
    </xf>
    <xf numFmtId="10" fontId="76" fillId="10" borderId="37" xfId="0" applyNumberFormat="1" applyFont="1" applyFill="1" applyBorder="1" applyAlignment="1" applyProtection="1">
      <alignment horizontal="center"/>
      <protection hidden="1"/>
    </xf>
    <xf numFmtId="0" fontId="20" fillId="0" borderId="5" xfId="0" applyFont="1" applyFill="1" applyBorder="1" applyAlignment="1" applyProtection="1">
      <alignment horizontal="left" vertical="center"/>
      <protection hidden="1"/>
    </xf>
    <xf numFmtId="0" fontId="88" fillId="3" borderId="6" xfId="0" applyFont="1" applyFill="1" applyBorder="1" applyAlignment="1" applyProtection="1">
      <alignment horizontal="center"/>
      <protection hidden="1"/>
    </xf>
    <xf numFmtId="0" fontId="20" fillId="0" borderId="7" xfId="0" applyFont="1" applyFill="1" applyBorder="1" applyAlignment="1" applyProtection="1">
      <alignment horizontal="left" vertical="center"/>
      <protection hidden="1"/>
    </xf>
    <xf numFmtId="0" fontId="33" fillId="0" borderId="8" xfId="0" applyFont="1" applyBorder="1" applyProtection="1">
      <protection hidden="1"/>
    </xf>
    <xf numFmtId="0" fontId="33" fillId="0" borderId="8" xfId="0" applyFont="1" applyBorder="1" applyAlignment="1" applyProtection="1">
      <alignment horizontal="center"/>
      <protection hidden="1"/>
    </xf>
    <xf numFmtId="0" fontId="20" fillId="0" borderId="14" xfId="0" applyFont="1" applyBorder="1" applyAlignment="1" applyProtection="1">
      <alignment horizontal="center"/>
      <protection hidden="1"/>
    </xf>
    <xf numFmtId="0" fontId="106" fillId="0" borderId="8" xfId="0" applyFont="1" applyBorder="1" applyAlignment="1" applyProtection="1">
      <alignment horizontal="center"/>
      <protection hidden="1"/>
    </xf>
    <xf numFmtId="0" fontId="88" fillId="3" borderId="8" xfId="0" applyFont="1" applyFill="1" applyBorder="1" applyAlignment="1" applyProtection="1">
      <alignment horizontal="center" wrapText="1"/>
      <protection hidden="1"/>
    </xf>
    <xf numFmtId="0" fontId="33" fillId="0" borderId="0" xfId="0" applyFont="1" applyBorder="1" applyProtection="1">
      <protection hidden="1"/>
    </xf>
    <xf numFmtId="0" fontId="106" fillId="0" borderId="0" xfId="0" applyFont="1" applyBorder="1" applyAlignment="1" applyProtection="1">
      <alignment horizontal="center"/>
      <protection hidden="1"/>
    </xf>
    <xf numFmtId="0" fontId="20" fillId="4" borderId="0" xfId="0" applyFont="1" applyFill="1" applyBorder="1" applyAlignment="1" applyProtection="1">
      <alignment horizontal="center" wrapText="1"/>
      <protection hidden="1"/>
    </xf>
    <xf numFmtId="0" fontId="19" fillId="4" borderId="0" xfId="0" applyFont="1" applyFill="1" applyBorder="1" applyAlignment="1" applyProtection="1">
      <alignment horizontal="center" wrapText="1"/>
      <protection hidden="1"/>
    </xf>
    <xf numFmtId="0" fontId="19" fillId="4" borderId="0" xfId="0" applyFont="1" applyFill="1" applyBorder="1" applyAlignment="1" applyProtection="1">
      <alignment horizontal="center" vertical="center" wrapText="1"/>
      <protection hidden="1"/>
    </xf>
    <xf numFmtId="0" fontId="20" fillId="0" borderId="6" xfId="0" applyFont="1" applyFill="1" applyBorder="1" applyAlignment="1" applyProtection="1">
      <alignment horizontal="left" vertical="center"/>
      <protection hidden="1"/>
    </xf>
    <xf numFmtId="0" fontId="20" fillId="3" borderId="13" xfId="0" applyFont="1" applyFill="1" applyBorder="1" applyAlignment="1" applyProtection="1">
      <alignment horizontal="center"/>
      <protection hidden="1"/>
    </xf>
    <xf numFmtId="0" fontId="20" fillId="3" borderId="6" xfId="0" applyFont="1" applyFill="1" applyBorder="1" applyAlignment="1" applyProtection="1">
      <alignment horizontal="center"/>
      <protection hidden="1"/>
    </xf>
    <xf numFmtId="166" fontId="76" fillId="10" borderId="14" xfId="0" applyNumberFormat="1" applyFont="1" applyFill="1" applyBorder="1" applyAlignment="1" applyProtection="1">
      <alignment horizontal="center" vertical="top"/>
      <protection hidden="1"/>
    </xf>
    <xf numFmtId="166" fontId="20" fillId="0" borderId="0" xfId="0" applyNumberFormat="1" applyFont="1" applyFill="1" applyBorder="1" applyAlignment="1" applyProtection="1">
      <alignment horizontal="center" vertical="top"/>
      <protection hidden="1"/>
    </xf>
    <xf numFmtId="2" fontId="21" fillId="0" borderId="0" xfId="0" applyNumberFormat="1" applyFont="1" applyFill="1" applyBorder="1" applyAlignment="1" applyProtection="1">
      <alignment horizontal="center"/>
      <protection hidden="1"/>
    </xf>
    <xf numFmtId="1" fontId="107" fillId="10" borderId="3" xfId="0" applyNumberFormat="1" applyFont="1" applyFill="1" applyBorder="1" applyAlignment="1" applyProtection="1">
      <alignment horizontal="center" vertical="top"/>
      <protection hidden="1"/>
    </xf>
    <xf numFmtId="10" fontId="20" fillId="10" borderId="47" xfId="0" applyNumberFormat="1" applyFont="1" applyFill="1" applyBorder="1" applyAlignment="1" applyProtection="1">
      <alignment horizontal="center"/>
      <protection hidden="1"/>
    </xf>
    <xf numFmtId="1" fontId="107" fillId="10" borderId="5" xfId="0" applyNumberFormat="1" applyFont="1" applyFill="1" applyBorder="1" applyAlignment="1" applyProtection="1">
      <alignment horizontal="center" vertical="top"/>
      <protection hidden="1"/>
    </xf>
    <xf numFmtId="0" fontId="20" fillId="0" borderId="8" xfId="0" applyFont="1" applyFill="1" applyBorder="1" applyAlignment="1" applyProtection="1">
      <alignment horizontal="left" vertical="center"/>
      <protection hidden="1"/>
    </xf>
    <xf numFmtId="0" fontId="20" fillId="3" borderId="8" xfId="0" applyFont="1" applyFill="1" applyBorder="1" applyAlignment="1" applyProtection="1">
      <alignment horizontal="center"/>
      <protection hidden="1"/>
    </xf>
    <xf numFmtId="1" fontId="107" fillId="10" borderId="7" xfId="0" applyNumberFormat="1" applyFont="1" applyFill="1" applyBorder="1" applyAlignment="1" applyProtection="1">
      <alignment horizontal="center" vertical="top"/>
      <protection hidden="1"/>
    </xf>
    <xf numFmtId="0" fontId="19" fillId="0" borderId="0" xfId="0" applyFont="1" applyFill="1" applyBorder="1" applyAlignment="1" applyProtection="1">
      <alignment horizont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10" fontId="29" fillId="26" borderId="0" xfId="0" applyNumberFormat="1" applyFont="1" applyFill="1" applyAlignment="1" applyProtection="1">
      <alignment horizontal="right"/>
      <protection hidden="1"/>
    </xf>
    <xf numFmtId="0" fontId="21" fillId="0" borderId="41" xfId="0" applyFont="1" applyBorder="1" applyAlignment="1" applyProtection="1">
      <alignment vertical="justify"/>
      <protection hidden="1"/>
    </xf>
    <xf numFmtId="0" fontId="20" fillId="0" borderId="3" xfId="0" applyFont="1" applyFill="1" applyBorder="1" applyAlignment="1" applyProtection="1">
      <alignment horizontal="left" vertical="center"/>
      <protection hidden="1"/>
    </xf>
    <xf numFmtId="0" fontId="20" fillId="0" borderId="4" xfId="0" applyFont="1" applyFill="1" applyBorder="1" applyAlignment="1" applyProtection="1">
      <alignment horizontal="left" vertical="center"/>
      <protection hidden="1"/>
    </xf>
    <xf numFmtId="0" fontId="33" fillId="0" borderId="4" xfId="0" applyFont="1" applyBorder="1" applyAlignment="1" applyProtection="1">
      <alignment horizontal="center"/>
      <protection hidden="1"/>
    </xf>
    <xf numFmtId="0" fontId="20" fillId="0" borderId="4" xfId="0" applyFont="1" applyBorder="1" applyAlignment="1" applyProtection="1">
      <alignment horizontal="center"/>
      <protection hidden="1"/>
    </xf>
    <xf numFmtId="0" fontId="106" fillId="0" borderId="4" xfId="0" applyFont="1" applyBorder="1" applyAlignment="1" applyProtection="1">
      <alignment horizontal="center"/>
      <protection hidden="1"/>
    </xf>
    <xf numFmtId="0" fontId="88" fillId="3" borderId="4" xfId="0" applyFont="1" applyFill="1" applyBorder="1" applyAlignment="1" applyProtection="1">
      <alignment horizontal="center"/>
      <protection hidden="1"/>
    </xf>
    <xf numFmtId="1" fontId="19" fillId="7" borderId="39" xfId="0" applyNumberFormat="1" applyFont="1" applyFill="1" applyBorder="1" applyAlignment="1" applyProtection="1">
      <alignment horizontal="center"/>
      <protection hidden="1"/>
    </xf>
    <xf numFmtId="2" fontId="19" fillId="7" borderId="39" xfId="0" applyNumberFormat="1" applyFont="1" applyFill="1" applyBorder="1" applyAlignment="1" applyProtection="1">
      <alignment horizontal="center" vertical="center"/>
      <protection hidden="1"/>
    </xf>
    <xf numFmtId="166" fontId="80" fillId="10" borderId="4" xfId="0" applyNumberFormat="1" applyFont="1" applyFill="1" applyBorder="1" applyAlignment="1" applyProtection="1">
      <alignment horizontal="center" vertical="top"/>
      <protection hidden="1"/>
    </xf>
    <xf numFmtId="166" fontId="21" fillId="7" borderId="6" xfId="0" applyNumberFormat="1" applyFont="1" applyFill="1" applyBorder="1" applyAlignment="1" applyProtection="1">
      <alignment horizontal="center" vertical="center"/>
      <protection hidden="1"/>
    </xf>
    <xf numFmtId="10" fontId="21" fillId="10" borderId="13" xfId="0" applyNumberFormat="1" applyFont="1" applyFill="1" applyBorder="1" applyAlignment="1" applyProtection="1">
      <alignment horizontal="center"/>
      <protection hidden="1"/>
    </xf>
    <xf numFmtId="166" fontId="20" fillId="7" borderId="6" xfId="0" applyNumberFormat="1" applyFont="1" applyFill="1" applyBorder="1" applyAlignment="1" applyProtection="1">
      <alignment horizontal="center" vertical="center"/>
      <protection hidden="1"/>
    </xf>
    <xf numFmtId="166" fontId="80" fillId="10" borderId="14" xfId="0" applyNumberFormat="1" applyFont="1" applyFill="1" applyBorder="1" applyAlignment="1" applyProtection="1">
      <alignment horizontal="center" vertical="top"/>
      <protection hidden="1"/>
    </xf>
    <xf numFmtId="0" fontId="19" fillId="7" borderId="50" xfId="0" applyFont="1" applyFill="1" applyBorder="1" applyAlignment="1" applyProtection="1">
      <alignment horizontal="center"/>
      <protection hidden="1"/>
    </xf>
    <xf numFmtId="0" fontId="19" fillId="7" borderId="50" xfId="0" applyFont="1" applyFill="1" applyBorder="1" applyAlignment="1" applyProtection="1">
      <alignment horizontal="center" vertical="center"/>
      <protection hidden="1"/>
    </xf>
    <xf numFmtId="1" fontId="33" fillId="10" borderId="3" xfId="0" applyNumberFormat="1" applyFont="1" applyFill="1" applyBorder="1" applyAlignment="1" applyProtection="1">
      <alignment horizontal="right" vertical="top"/>
      <protection hidden="1"/>
    </xf>
    <xf numFmtId="1" fontId="33" fillId="10" borderId="5" xfId="0" applyNumberFormat="1" applyFont="1" applyFill="1" applyBorder="1" applyAlignment="1" applyProtection="1">
      <alignment horizontal="right" vertical="top"/>
      <protection hidden="1"/>
    </xf>
    <xf numFmtId="0" fontId="19" fillId="7" borderId="72" xfId="0" applyFont="1" applyFill="1" applyBorder="1" applyAlignment="1" applyProtection="1">
      <alignment horizontal="center"/>
      <protection hidden="1"/>
    </xf>
    <xf numFmtId="0" fontId="19" fillId="7" borderId="72" xfId="0" applyFont="1" applyFill="1" applyBorder="1" applyAlignment="1" applyProtection="1">
      <alignment horizontal="center" vertical="center"/>
      <protection hidden="1"/>
    </xf>
    <xf numFmtId="1" fontId="21" fillId="5" borderId="48" xfId="0" applyNumberFormat="1" applyFont="1" applyFill="1" applyBorder="1" applyAlignment="1" applyProtection="1">
      <alignment horizontal="center" vertical="center"/>
      <protection hidden="1"/>
    </xf>
    <xf numFmtId="1" fontId="33" fillId="10" borderId="7" xfId="0" applyNumberFormat="1" applyFont="1" applyFill="1" applyBorder="1" applyAlignment="1" applyProtection="1">
      <alignment horizontal="right" vertical="top"/>
      <protection hidden="1"/>
    </xf>
    <xf numFmtId="10" fontId="64" fillId="4" borderId="41" xfId="0" applyNumberFormat="1" applyFont="1" applyFill="1" applyBorder="1" applyAlignment="1" applyProtection="1">
      <alignment horizontal="center"/>
      <protection hidden="1"/>
    </xf>
    <xf numFmtId="0" fontId="21" fillId="0" borderId="27" xfId="0" applyFont="1" applyBorder="1" applyAlignment="1" applyProtection="1">
      <alignment horizontal="center" vertical="center"/>
      <protection hidden="1"/>
    </xf>
    <xf numFmtId="0" fontId="108" fillId="0" borderId="4" xfId="0" applyFont="1" applyFill="1" applyBorder="1" applyAlignment="1" applyProtection="1">
      <alignment horizontal="center"/>
      <protection hidden="1"/>
    </xf>
    <xf numFmtId="166" fontId="76" fillId="10" borderId="13" xfId="0" applyNumberFormat="1" applyFont="1" applyFill="1" applyBorder="1" applyAlignment="1" applyProtection="1">
      <alignment horizontal="center" vertical="center"/>
      <protection hidden="1"/>
    </xf>
    <xf numFmtId="10" fontId="76" fillId="10" borderId="50" xfId="0" applyNumberFormat="1" applyFont="1" applyFill="1" applyBorder="1" applyAlignment="1" applyProtection="1">
      <alignment horizontal="center"/>
      <protection hidden="1"/>
    </xf>
    <xf numFmtId="0" fontId="109" fillId="0" borderId="8" xfId="0" applyFont="1" applyFill="1" applyBorder="1" applyAlignment="1" applyProtection="1">
      <alignment horizontal="center"/>
      <protection hidden="1"/>
    </xf>
    <xf numFmtId="0" fontId="109" fillId="0" borderId="0" xfId="0" applyFont="1" applyFill="1" applyBorder="1" applyAlignment="1" applyProtection="1">
      <alignment horizontal="center"/>
      <protection hidden="1"/>
    </xf>
    <xf numFmtId="10" fontId="21" fillId="4" borderId="6" xfId="0" applyNumberFormat="1" applyFont="1" applyFill="1" applyBorder="1" applyAlignment="1" applyProtection="1">
      <alignment horizontal="center"/>
      <protection hidden="1"/>
    </xf>
    <xf numFmtId="166" fontId="21" fillId="4" borderId="0" xfId="0" applyNumberFormat="1" applyFont="1" applyFill="1" applyBorder="1" applyAlignment="1" applyProtection="1">
      <alignment horizontal="center"/>
      <protection hidden="1"/>
    </xf>
    <xf numFmtId="0" fontId="21" fillId="0" borderId="25" xfId="0" applyFont="1" applyBorder="1" applyAlignment="1" applyProtection="1">
      <alignment horizontal="center" vertical="center"/>
      <protection hidden="1"/>
    </xf>
    <xf numFmtId="2" fontId="21" fillId="7" borderId="6" xfId="0" applyNumberFormat="1" applyFont="1" applyFill="1" applyBorder="1" applyAlignment="1" applyProtection="1">
      <alignment horizontal="center"/>
      <protection hidden="1"/>
    </xf>
    <xf numFmtId="1" fontId="20" fillId="0" borderId="29" xfId="0" applyNumberFormat="1" applyFont="1" applyBorder="1" applyAlignment="1" applyProtection="1">
      <alignment horizontal="center" vertical="center"/>
      <protection hidden="1"/>
    </xf>
    <xf numFmtId="0" fontId="109" fillId="0" borderId="6" xfId="0" applyFont="1" applyFill="1" applyBorder="1" applyAlignment="1" applyProtection="1">
      <alignment horizontal="center"/>
      <protection hidden="1"/>
    </xf>
    <xf numFmtId="1" fontId="20" fillId="0" borderId="30" xfId="0" applyNumberFormat="1" applyFont="1" applyBorder="1" applyAlignment="1" applyProtection="1">
      <alignment horizontal="center" vertical="center"/>
      <protection hidden="1"/>
    </xf>
    <xf numFmtId="10" fontId="16" fillId="0" borderId="0" xfId="0" applyNumberFormat="1" applyFont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19" fillId="0" borderId="0" xfId="0" applyFont="1" applyFill="1" applyProtection="1">
      <protection hidden="1"/>
    </xf>
    <xf numFmtId="0" fontId="19" fillId="0" borderId="0" xfId="0" applyFont="1" applyFill="1" applyAlignment="1" applyProtection="1">
      <alignment horizontal="center" vertical="center"/>
      <protection hidden="1"/>
    </xf>
    <xf numFmtId="0" fontId="21" fillId="0" borderId="0" xfId="0" applyFont="1" applyFill="1" applyAlignment="1" applyProtection="1">
      <alignment horizontal="center" vertical="center"/>
      <protection hidden="1"/>
    </xf>
    <xf numFmtId="166" fontId="21" fillId="21" borderId="42" xfId="0" applyNumberFormat="1" applyFont="1" applyFill="1" applyBorder="1" applyAlignment="1" applyProtection="1">
      <alignment horizontal="center" vertical="justify"/>
      <protection hidden="1"/>
    </xf>
    <xf numFmtId="166" fontId="21" fillId="22" borderId="1" xfId="0" applyNumberFormat="1" applyFont="1" applyFill="1" applyBorder="1" applyAlignment="1" applyProtection="1">
      <alignment horizontal="center" vertical="justify"/>
      <protection hidden="1"/>
    </xf>
    <xf numFmtId="166" fontId="21" fillId="22" borderId="2" xfId="0" applyNumberFormat="1" applyFont="1" applyFill="1" applyBorder="1" applyAlignment="1" applyProtection="1">
      <alignment horizontal="center" vertical="justify"/>
      <protection hidden="1"/>
    </xf>
    <xf numFmtId="166" fontId="21" fillId="25" borderId="21" xfId="0" applyNumberFormat="1" applyFont="1" applyFill="1" applyBorder="1" applyAlignment="1" applyProtection="1">
      <alignment horizontal="center" vertical="justify"/>
      <protection hidden="1"/>
    </xf>
    <xf numFmtId="166" fontId="21" fillId="22" borderId="21" xfId="0" applyNumberFormat="1" applyFont="1" applyFill="1" applyBorder="1" applyAlignment="1" applyProtection="1">
      <alignment horizontal="center" vertical="justify"/>
      <protection hidden="1"/>
    </xf>
    <xf numFmtId="0" fontId="21" fillId="21" borderId="24" xfId="0" applyFont="1" applyFill="1" applyBorder="1" applyAlignment="1" applyProtection="1">
      <alignment horizontal="center" vertical="justify"/>
      <protection hidden="1"/>
    </xf>
    <xf numFmtId="0" fontId="21" fillId="25" borderId="54" xfId="0" applyFont="1" applyFill="1" applyBorder="1" applyAlignment="1" applyProtection="1">
      <alignment horizontal="center" vertical="justify"/>
      <protection hidden="1"/>
    </xf>
    <xf numFmtId="0" fontId="21" fillId="22" borderId="54" xfId="0" applyFont="1" applyFill="1" applyBorder="1" applyAlignment="1" applyProtection="1">
      <alignment horizontal="center" vertical="justify"/>
      <protection hidden="1"/>
    </xf>
    <xf numFmtId="166" fontId="21" fillId="21" borderId="24" xfId="0" applyNumberFormat="1" applyFont="1" applyFill="1" applyBorder="1" applyAlignment="1" applyProtection="1">
      <alignment horizontal="center" vertical="justify"/>
      <protection hidden="1"/>
    </xf>
    <xf numFmtId="0" fontId="17" fillId="0" borderId="3" xfId="0" applyFont="1" applyFill="1" applyBorder="1" applyAlignment="1" applyProtection="1">
      <alignment horizontal="left" vertical="center"/>
      <protection hidden="1"/>
    </xf>
    <xf numFmtId="0" fontId="10" fillId="2" borderId="4" xfId="11" applyFont="1" applyFill="1" applyBorder="1" applyAlignment="1" applyProtection="1">
      <alignment horizontal="center" vertical="center"/>
      <protection hidden="1"/>
    </xf>
    <xf numFmtId="0" fontId="21" fillId="3" borderId="6" xfId="0" applyFont="1" applyFill="1" applyBorder="1" applyAlignment="1" applyProtection="1">
      <alignment horizontal="center" vertical="center"/>
      <protection hidden="1"/>
    </xf>
    <xf numFmtId="0" fontId="21" fillId="8" borderId="26" xfId="0" applyFont="1" applyFill="1" applyBorder="1" applyAlignment="1" applyProtection="1">
      <alignment vertical="center"/>
      <protection hidden="1"/>
    </xf>
    <xf numFmtId="2" fontId="21" fillId="8" borderId="6" xfId="0" applyNumberFormat="1" applyFont="1" applyFill="1" applyBorder="1" applyAlignment="1" applyProtection="1">
      <alignment vertical="center"/>
      <protection hidden="1"/>
    </xf>
    <xf numFmtId="166" fontId="21" fillId="21" borderId="6" xfId="0" applyNumberFormat="1" applyFont="1" applyFill="1" applyBorder="1" applyAlignment="1" applyProtection="1">
      <alignment horizontal="center" vertical="justify"/>
      <protection hidden="1"/>
    </xf>
    <xf numFmtId="166" fontId="21" fillId="22" borderId="6" xfId="0" applyNumberFormat="1" applyFont="1" applyFill="1" applyBorder="1" applyAlignment="1" applyProtection="1">
      <alignment horizontal="center" vertical="justify"/>
      <protection hidden="1"/>
    </xf>
    <xf numFmtId="166" fontId="21" fillId="25" borderId="6" xfId="0" applyNumberFormat="1" applyFont="1" applyFill="1" applyBorder="1" applyAlignment="1" applyProtection="1">
      <alignment horizontal="center" vertical="justify"/>
      <protection hidden="1"/>
    </xf>
    <xf numFmtId="10" fontId="21" fillId="21" borderId="6" xfId="0" applyNumberFormat="1" applyFont="1" applyFill="1" applyBorder="1" applyAlignment="1" applyProtection="1">
      <alignment horizontal="center" vertical="justify"/>
      <protection hidden="1"/>
    </xf>
    <xf numFmtId="10" fontId="76" fillId="25" borderId="6" xfId="0" applyNumberFormat="1" applyFont="1" applyFill="1" applyBorder="1" applyAlignment="1" applyProtection="1">
      <alignment horizontal="center" vertical="justify"/>
      <protection hidden="1"/>
    </xf>
    <xf numFmtId="0" fontId="21" fillId="22" borderId="6" xfId="0" applyFont="1" applyFill="1" applyBorder="1" applyAlignment="1" applyProtection="1">
      <alignment horizontal="center" vertical="justify"/>
      <protection hidden="1"/>
    </xf>
    <xf numFmtId="0" fontId="21" fillId="21" borderId="6" xfId="0" applyFont="1" applyFill="1" applyBorder="1" applyAlignment="1" applyProtection="1">
      <alignment horizontal="center" vertical="justify"/>
      <protection hidden="1"/>
    </xf>
    <xf numFmtId="169" fontId="21" fillId="21" borderId="6" xfId="0" applyNumberFormat="1" applyFont="1" applyFill="1" applyBorder="1" applyAlignment="1" applyProtection="1">
      <alignment horizontal="center" vertical="justify"/>
      <protection hidden="1"/>
    </xf>
    <xf numFmtId="10" fontId="21" fillId="0" borderId="0" xfId="0" applyNumberFormat="1" applyFont="1" applyBorder="1" applyAlignment="1" applyProtection="1">
      <alignment horizontal="center" vertical="justify"/>
      <protection hidden="1"/>
    </xf>
    <xf numFmtId="3" fontId="21" fillId="0" borderId="74" xfId="0" applyNumberFormat="1" applyFont="1" applyBorder="1" applyAlignment="1" applyProtection="1">
      <alignment horizontal="center" vertical="justify"/>
      <protection hidden="1"/>
    </xf>
    <xf numFmtId="4" fontId="21" fillId="0" borderId="16" xfId="0" applyNumberFormat="1" applyFont="1" applyBorder="1" applyAlignment="1" applyProtection="1">
      <alignment horizontal="center" vertical="justify"/>
      <protection hidden="1"/>
    </xf>
    <xf numFmtId="10" fontId="21" fillId="0" borderId="74" xfId="0" applyNumberFormat="1" applyFont="1" applyBorder="1" applyAlignment="1" applyProtection="1">
      <alignment horizontal="center" vertical="justify"/>
      <protection hidden="1"/>
    </xf>
    <xf numFmtId="0" fontId="110" fillId="0" borderId="13" xfId="0" applyFont="1" applyFill="1" applyBorder="1" applyAlignment="1" applyProtection="1">
      <alignment horizontal="center" vertical="center"/>
      <protection hidden="1"/>
    </xf>
    <xf numFmtId="0" fontId="33" fillId="0" borderId="13" xfId="0" applyFont="1" applyBorder="1" applyAlignment="1" applyProtection="1">
      <alignment horizontal="center"/>
      <protection hidden="1"/>
    </xf>
    <xf numFmtId="10" fontId="16" fillId="5" borderId="26" xfId="0" applyNumberFormat="1" applyFont="1" applyFill="1" applyBorder="1" applyAlignment="1" applyProtection="1">
      <alignment horizontal="center"/>
      <protection hidden="1"/>
    </xf>
    <xf numFmtId="0" fontId="110" fillId="0" borderId="8" xfId="0" applyFont="1" applyFill="1" applyBorder="1" applyAlignment="1" applyProtection="1">
      <alignment horizontal="center" vertical="center"/>
      <protection hidden="1"/>
    </xf>
    <xf numFmtId="10" fontId="16" fillId="0" borderId="26" xfId="0" applyNumberFormat="1" applyFont="1" applyBorder="1" applyAlignment="1" applyProtection="1">
      <alignment horizontal="center"/>
      <protection hidden="1"/>
    </xf>
    <xf numFmtId="10" fontId="21" fillId="7" borderId="42" xfId="0" applyNumberFormat="1" applyFont="1" applyFill="1" applyBorder="1" applyAlignment="1" applyProtection="1">
      <alignment horizontal="center"/>
      <protection hidden="1"/>
    </xf>
    <xf numFmtId="0" fontId="21" fillId="7" borderId="54" xfId="0" applyFont="1" applyFill="1" applyBorder="1" applyAlignment="1" applyProtection="1">
      <alignment vertical="justify"/>
      <protection hidden="1"/>
    </xf>
    <xf numFmtId="0" fontId="20" fillId="0" borderId="4" xfId="0" applyFont="1" applyFill="1" applyBorder="1" applyAlignment="1" applyProtection="1">
      <alignment horizontal="center" vertical="center"/>
      <protection hidden="1"/>
    </xf>
    <xf numFmtId="1" fontId="19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0" borderId="6" xfId="0" applyFont="1" applyFill="1" applyBorder="1" applyAlignment="1" applyProtection="1">
      <alignment horizontal="center" vertical="center"/>
      <protection hidden="1"/>
    </xf>
    <xf numFmtId="0" fontId="17" fillId="0" borderId="7" xfId="0" applyFont="1" applyFill="1" applyBorder="1" applyAlignment="1" applyProtection="1">
      <alignment horizontal="left" vertical="center"/>
      <protection hidden="1"/>
    </xf>
    <xf numFmtId="0" fontId="30" fillId="0" borderId="8" xfId="0" applyFont="1" applyFill="1" applyBorder="1" applyAlignment="1" applyProtection="1">
      <alignment horizontal="center" vertical="center"/>
      <protection hidden="1"/>
    </xf>
    <xf numFmtId="0" fontId="26" fillId="0" borderId="8" xfId="0" applyFont="1" applyBorder="1" applyAlignment="1" applyProtection="1">
      <alignment horizontal="center"/>
      <protection hidden="1"/>
    </xf>
    <xf numFmtId="0" fontId="34" fillId="0" borderId="8" xfId="0" applyFont="1" applyBorder="1" applyAlignment="1" applyProtection="1">
      <alignment horizontal="center"/>
      <protection hidden="1"/>
    </xf>
    <xf numFmtId="1" fontId="58" fillId="10" borderId="0" xfId="0" applyNumberFormat="1" applyFont="1" applyFill="1" applyBorder="1" applyAlignment="1" applyProtection="1">
      <alignment horizontal="center" vertical="center"/>
      <protection hidden="1"/>
    </xf>
    <xf numFmtId="166" fontId="20" fillId="10" borderId="0" xfId="0" applyNumberFormat="1" applyFont="1" applyFill="1" applyBorder="1" applyAlignment="1" applyProtection="1">
      <alignment horizontal="center" vertical="top"/>
      <protection hidden="1"/>
    </xf>
    <xf numFmtId="2" fontId="21" fillId="10" borderId="0" xfId="0" applyNumberFormat="1" applyFont="1" applyFill="1" applyBorder="1" applyAlignment="1" applyProtection="1">
      <alignment horizontal="center"/>
      <protection hidden="1"/>
    </xf>
    <xf numFmtId="166" fontId="20" fillId="10" borderId="0" xfId="0" applyNumberFormat="1" applyFont="1" applyFill="1" applyBorder="1" applyAlignment="1" applyProtection="1">
      <alignment horizontal="center" vertical="center"/>
      <protection hidden="1"/>
    </xf>
    <xf numFmtId="10" fontId="16" fillId="5" borderId="0" xfId="0" applyNumberFormat="1" applyFont="1" applyFill="1" applyBorder="1" applyAlignment="1" applyProtection="1">
      <alignment horizontal="center"/>
      <protection hidden="1"/>
    </xf>
    <xf numFmtId="3" fontId="29" fillId="5" borderId="0" xfId="0" applyNumberFormat="1" applyFont="1" applyFill="1" applyBorder="1" applyAlignment="1" applyProtection="1">
      <alignment horizontal="center"/>
      <protection hidden="1"/>
    </xf>
    <xf numFmtId="4" fontId="16" fillId="5" borderId="0" xfId="0" applyNumberFormat="1" applyFont="1" applyFill="1" applyBorder="1" applyProtection="1">
      <protection hidden="1"/>
    </xf>
    <xf numFmtId="0" fontId="20" fillId="0" borderId="12" xfId="0" applyFont="1" applyBorder="1" applyAlignment="1" applyProtection="1">
      <alignment horizontal="center" vertical="center"/>
      <protection hidden="1"/>
    </xf>
    <xf numFmtId="1" fontId="30" fillId="0" borderId="13" xfId="0" applyNumberFormat="1" applyFont="1" applyBorder="1" applyAlignment="1" applyProtection="1">
      <alignment horizontal="center" vertical="center"/>
      <protection hidden="1"/>
    </xf>
    <xf numFmtId="1" fontId="30" fillId="0" borderId="6" xfId="0" applyNumberFormat="1" applyFont="1" applyBorder="1" applyAlignment="1" applyProtection="1">
      <alignment horizontal="center" vertical="center"/>
      <protection hidden="1"/>
    </xf>
    <xf numFmtId="1" fontId="30" fillId="0" borderId="17" xfId="0" applyNumberFormat="1" applyFont="1" applyBorder="1" applyAlignment="1" applyProtection="1">
      <alignment horizontal="center" vertical="center"/>
      <protection hidden="1"/>
    </xf>
    <xf numFmtId="10" fontId="16" fillId="32" borderId="6" xfId="0" applyNumberFormat="1" applyFont="1" applyFill="1" applyBorder="1" applyAlignment="1" applyProtection="1">
      <alignment horizontal="center"/>
      <protection hidden="1"/>
    </xf>
    <xf numFmtId="3" fontId="29" fillId="32" borderId="6" xfId="0" applyNumberFormat="1" applyFont="1" applyFill="1" applyBorder="1" applyAlignment="1" applyProtection="1">
      <alignment horizontal="center"/>
      <protection hidden="1"/>
    </xf>
    <xf numFmtId="4" fontId="16" fillId="32" borderId="6" xfId="0" applyNumberFormat="1" applyFont="1" applyFill="1" applyBorder="1" applyProtection="1">
      <protection hidden="1"/>
    </xf>
    <xf numFmtId="1" fontId="30" fillId="19" borderId="6" xfId="0" applyNumberFormat="1" applyFont="1" applyFill="1" applyBorder="1" applyAlignment="1" applyProtection="1">
      <alignment horizontal="center" vertical="center"/>
      <protection hidden="1"/>
    </xf>
    <xf numFmtId="1" fontId="20" fillId="19" borderId="6" xfId="0" applyNumberFormat="1" applyFont="1" applyFill="1" applyBorder="1" applyAlignment="1" applyProtection="1">
      <alignment horizontal="center"/>
      <protection hidden="1"/>
    </xf>
    <xf numFmtId="1" fontId="21" fillId="19" borderId="50" xfId="0" applyNumberFormat="1" applyFont="1" applyFill="1" applyBorder="1" applyAlignment="1" applyProtection="1">
      <alignment horizontal="center" vertical="center"/>
      <protection hidden="1"/>
    </xf>
    <xf numFmtId="1" fontId="58" fillId="19" borderId="5" xfId="0" applyNumberFormat="1" applyFont="1" applyFill="1" applyBorder="1" applyAlignment="1" applyProtection="1">
      <alignment horizontal="center" vertical="center"/>
      <protection hidden="1"/>
    </xf>
    <xf numFmtId="1" fontId="33" fillId="19" borderId="6" xfId="0" applyNumberFormat="1" applyFont="1" applyFill="1" applyBorder="1" applyAlignment="1" applyProtection="1">
      <alignment horizontal="center" vertical="top"/>
      <protection hidden="1"/>
    </xf>
    <xf numFmtId="166" fontId="76" fillId="19" borderId="6" xfId="0" applyNumberFormat="1" applyFont="1" applyFill="1" applyBorder="1" applyAlignment="1" applyProtection="1">
      <alignment horizontal="center" vertical="top"/>
      <protection hidden="1"/>
    </xf>
    <xf numFmtId="2" fontId="32" fillId="19" borderId="6" xfId="0" applyNumberFormat="1" applyFont="1" applyFill="1" applyBorder="1" applyAlignment="1" applyProtection="1">
      <alignment horizontal="center" vertical="top" wrapText="1"/>
      <protection hidden="1"/>
    </xf>
    <xf numFmtId="10" fontId="20" fillId="19" borderId="34" xfId="0" applyNumberFormat="1" applyFont="1" applyFill="1" applyBorder="1" applyAlignment="1" applyProtection="1">
      <alignment horizontal="center"/>
      <protection hidden="1"/>
    </xf>
    <xf numFmtId="10" fontId="21" fillId="19" borderId="6" xfId="0" applyNumberFormat="1" applyFont="1" applyFill="1" applyBorder="1" applyAlignment="1" applyProtection="1">
      <alignment horizontal="center"/>
      <protection hidden="1"/>
    </xf>
    <xf numFmtId="1" fontId="30" fillId="19" borderId="8" xfId="0" applyNumberFormat="1" applyFont="1" applyFill="1" applyBorder="1" applyAlignment="1" applyProtection="1">
      <alignment horizontal="center" vertical="center"/>
      <protection hidden="1"/>
    </xf>
    <xf numFmtId="1" fontId="20" fillId="19" borderId="8" xfId="0" applyNumberFormat="1" applyFont="1" applyFill="1" applyBorder="1" applyAlignment="1" applyProtection="1">
      <alignment horizontal="center"/>
      <protection hidden="1"/>
    </xf>
    <xf numFmtId="1" fontId="58" fillId="19" borderId="7" xfId="0" applyNumberFormat="1" applyFont="1" applyFill="1" applyBorder="1" applyAlignment="1" applyProtection="1">
      <alignment horizontal="center" vertical="center"/>
      <protection hidden="1"/>
    </xf>
    <xf numFmtId="1" fontId="33" fillId="19" borderId="8" xfId="0" applyNumberFormat="1" applyFont="1" applyFill="1" applyBorder="1" applyAlignment="1" applyProtection="1">
      <alignment horizontal="center" vertical="top"/>
      <protection hidden="1"/>
    </xf>
    <xf numFmtId="166" fontId="76" fillId="19" borderId="8" xfId="0" applyNumberFormat="1" applyFont="1" applyFill="1" applyBorder="1" applyAlignment="1" applyProtection="1">
      <alignment horizontal="center" vertical="top"/>
      <protection hidden="1"/>
    </xf>
    <xf numFmtId="2" fontId="32" fillId="19" borderId="8" xfId="0" applyNumberFormat="1" applyFont="1" applyFill="1" applyBorder="1" applyAlignment="1" applyProtection="1">
      <alignment horizontal="center" vertical="top" wrapText="1"/>
      <protection hidden="1"/>
    </xf>
    <xf numFmtId="10" fontId="20" fillId="19" borderId="35" xfId="0" applyNumberFormat="1" applyFont="1" applyFill="1" applyBorder="1" applyAlignment="1" applyProtection="1">
      <alignment horizontal="center"/>
      <protection hidden="1"/>
    </xf>
    <xf numFmtId="1" fontId="20" fillId="0" borderId="0" xfId="0" applyNumberFormat="1" applyFont="1" applyFill="1" applyBorder="1" applyAlignment="1" applyProtection="1">
      <alignment horizontal="center"/>
      <protection hidden="1"/>
    </xf>
    <xf numFmtId="10" fontId="76" fillId="7" borderId="17" xfId="0" applyNumberFormat="1" applyFont="1" applyFill="1" applyBorder="1" applyAlignment="1" applyProtection="1">
      <alignment horizontal="center"/>
      <protection hidden="1"/>
    </xf>
    <xf numFmtId="1" fontId="20" fillId="0" borderId="25" xfId="0" applyNumberFormat="1" applyFont="1" applyBorder="1" applyAlignment="1" applyProtection="1">
      <alignment horizontal="center" vertical="center"/>
      <protection hidden="1"/>
    </xf>
    <xf numFmtId="166" fontId="16" fillId="0" borderId="0" xfId="0" applyNumberFormat="1" applyFont="1" applyBorder="1" applyProtection="1">
      <protection hidden="1"/>
    </xf>
    <xf numFmtId="1" fontId="30" fillId="0" borderId="0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166" fontId="24" fillId="0" borderId="0" xfId="0" applyNumberFormat="1" applyFont="1" applyAlignment="1" applyProtection="1">
      <alignment horizontal="center"/>
      <protection hidden="1"/>
    </xf>
    <xf numFmtId="0" fontId="45" fillId="0" borderId="27" xfId="0" applyFont="1" applyBorder="1" applyAlignment="1" applyProtection="1">
      <alignment horizontal="center" vertical="center"/>
      <protection hidden="1"/>
    </xf>
    <xf numFmtId="0" fontId="21" fillId="0" borderId="24" xfId="0" applyFont="1" applyBorder="1" applyAlignment="1" applyProtection="1">
      <alignment horizontal="center"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1" fontId="30" fillId="0" borderId="4" xfId="0" applyNumberFormat="1" applyFont="1" applyBorder="1" applyAlignment="1" applyProtection="1">
      <alignment horizontal="center" vertical="center"/>
      <protection hidden="1"/>
    </xf>
    <xf numFmtId="1" fontId="20" fillId="0" borderId="47" xfId="0" applyNumberFormat="1" applyFont="1" applyBorder="1" applyAlignment="1" applyProtection="1">
      <alignment horizontal="center" vertical="center"/>
      <protection hidden="1"/>
    </xf>
    <xf numFmtId="1" fontId="30" fillId="0" borderId="8" xfId="0" applyNumberFormat="1" applyFont="1" applyBorder="1" applyAlignment="1" applyProtection="1">
      <alignment horizontal="center" vertical="center"/>
      <protection hidden="1"/>
    </xf>
    <xf numFmtId="1" fontId="20" fillId="0" borderId="35" xfId="0" applyNumberFormat="1" applyFont="1" applyBorder="1" applyAlignment="1" applyProtection="1">
      <alignment horizontal="center" vertical="center"/>
      <protection hidden="1"/>
    </xf>
    <xf numFmtId="1" fontId="30" fillId="0" borderId="10" xfId="0" applyNumberFormat="1" applyFont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horizontal="right"/>
      <protection hidden="1"/>
    </xf>
    <xf numFmtId="166" fontId="96" fillId="0" borderId="0" xfId="0" applyNumberFormat="1" applyFont="1" applyAlignment="1" applyProtection="1">
      <alignment horizontal="center"/>
      <protection hidden="1"/>
    </xf>
    <xf numFmtId="2" fontId="64" fillId="0" borderId="0" xfId="0" applyNumberFormat="1" applyFont="1" applyAlignment="1" applyProtection="1">
      <alignment horizontal="center"/>
      <protection hidden="1"/>
    </xf>
    <xf numFmtId="0" fontId="45" fillId="0" borderId="25" xfId="0" applyFont="1" applyBorder="1" applyAlignment="1" applyProtection="1">
      <alignment horizontal="center" vertical="center"/>
      <protection hidden="1"/>
    </xf>
    <xf numFmtId="0" fontId="21" fillId="0" borderId="23" xfId="0" applyFont="1" applyBorder="1" applyAlignment="1" applyProtection="1">
      <alignment horizontal="center" vertical="center"/>
      <protection hidden="1"/>
    </xf>
    <xf numFmtId="0" fontId="17" fillId="0" borderId="3" xfId="0" applyFont="1" applyBorder="1" applyProtection="1">
      <protection hidden="1"/>
    </xf>
    <xf numFmtId="0" fontId="17" fillId="0" borderId="5" xfId="0" applyFont="1" applyBorder="1" applyProtection="1">
      <protection hidden="1"/>
    </xf>
    <xf numFmtId="0" fontId="17" fillId="0" borderId="7" xfId="0" applyFont="1" applyBorder="1" applyProtection="1">
      <protection hidden="1"/>
    </xf>
    <xf numFmtId="1" fontId="17" fillId="0" borderId="14" xfId="0" applyNumberFormat="1" applyFont="1" applyBorder="1" applyAlignment="1" applyProtection="1">
      <alignment horizontal="center" vertical="center"/>
      <protection hidden="1"/>
    </xf>
    <xf numFmtId="1" fontId="20" fillId="0" borderId="14" xfId="0" applyNumberFormat="1" applyFont="1" applyBorder="1" applyAlignment="1" applyProtection="1">
      <alignment horizontal="center" vertical="center"/>
      <protection hidden="1"/>
    </xf>
    <xf numFmtId="1" fontId="21" fillId="26" borderId="9" xfId="0" applyNumberFormat="1" applyFont="1" applyFill="1" applyBorder="1" applyAlignment="1" applyProtection="1">
      <alignment horizontal="right" vertical="center"/>
      <protection hidden="1"/>
    </xf>
    <xf numFmtId="1" fontId="21" fillId="26" borderId="25" xfId="0" applyNumberFormat="1" applyFont="1" applyFill="1" applyBorder="1" applyAlignment="1" applyProtection="1">
      <alignment horizontal="center" vertical="center"/>
      <protection hidden="1"/>
    </xf>
    <xf numFmtId="166" fontId="21" fillId="26" borderId="41" xfId="0" applyNumberFormat="1" applyFont="1" applyFill="1" applyBorder="1" applyAlignment="1" applyProtection="1">
      <alignment horizontal="center" vertical="center"/>
      <protection hidden="1"/>
    </xf>
    <xf numFmtId="2" fontId="21" fillId="26" borderId="41" xfId="0" applyNumberFormat="1" applyFont="1" applyFill="1" applyBorder="1" applyAlignment="1" applyProtection="1">
      <alignment horizontal="center"/>
      <protection hidden="1"/>
    </xf>
    <xf numFmtId="10" fontId="21" fillId="26" borderId="52" xfId="0" applyNumberFormat="1" applyFont="1" applyFill="1" applyBorder="1" applyAlignment="1" applyProtection="1">
      <alignment horizontal="center"/>
      <protection hidden="1"/>
    </xf>
    <xf numFmtId="0" fontId="58" fillId="25" borderId="10" xfId="0" applyFont="1" applyFill="1" applyBorder="1" applyAlignment="1" applyProtection="1">
      <alignment vertical="justify"/>
      <protection hidden="1"/>
    </xf>
    <xf numFmtId="10" fontId="97" fillId="25" borderId="10" xfId="0" applyNumberFormat="1" applyFont="1" applyFill="1" applyBorder="1" applyProtection="1">
      <protection hidden="1"/>
    </xf>
    <xf numFmtId="10" fontId="98" fillId="25" borderId="10" xfId="0" applyNumberFormat="1" applyFont="1" applyFill="1" applyBorder="1" applyProtection="1">
      <protection hidden="1"/>
    </xf>
    <xf numFmtId="10" fontId="98" fillId="25" borderId="10" xfId="0" applyNumberFormat="1" applyFont="1" applyFill="1" applyBorder="1" applyAlignment="1" applyProtection="1">
      <alignment horizontal="center" vertical="center"/>
      <protection hidden="1"/>
    </xf>
    <xf numFmtId="0" fontId="58" fillId="25" borderId="10" xfId="0" applyFont="1" applyFill="1" applyBorder="1" applyAlignment="1" applyProtection="1">
      <alignment horizontal="center" vertical="center"/>
      <protection hidden="1"/>
    </xf>
    <xf numFmtId="170" fontId="58" fillId="25" borderId="10" xfId="0" applyNumberFormat="1" applyFont="1" applyFill="1" applyBorder="1" applyAlignment="1" applyProtection="1">
      <alignment horizontal="right"/>
      <protection hidden="1"/>
    </xf>
    <xf numFmtId="1" fontId="58" fillId="25" borderId="32" xfId="0" applyNumberFormat="1" applyFont="1" applyFill="1" applyBorder="1" applyAlignment="1" applyProtection="1">
      <alignment horizontal="center"/>
      <protection hidden="1"/>
    </xf>
    <xf numFmtId="166" fontId="64" fillId="0" borderId="20" xfId="0" applyNumberFormat="1" applyFont="1" applyBorder="1" applyAlignment="1" applyProtection="1">
      <alignment vertical="justify"/>
      <protection hidden="1"/>
    </xf>
    <xf numFmtId="10" fontId="64" fillId="24" borderId="41" xfId="0" applyNumberFormat="1" applyFont="1" applyFill="1" applyBorder="1" applyAlignment="1" applyProtection="1">
      <alignment horizontal="center"/>
      <protection hidden="1"/>
    </xf>
    <xf numFmtId="166" fontId="0" fillId="26" borderId="0" xfId="0" applyNumberFormat="1" applyFont="1" applyFill="1" applyProtection="1">
      <protection hidden="1"/>
    </xf>
    <xf numFmtId="0" fontId="43" fillId="0" borderId="0" xfId="0" applyFont="1" applyBorder="1" applyAlignment="1" applyProtection="1">
      <alignment horizontal="center"/>
      <protection hidden="1"/>
    </xf>
    <xf numFmtId="0" fontId="49" fillId="0" borderId="0" xfId="0" applyFont="1" applyProtection="1">
      <protection hidden="1"/>
    </xf>
    <xf numFmtId="0" fontId="19" fillId="3" borderId="2" xfId="0" applyFont="1" applyFill="1" applyBorder="1" applyAlignment="1" applyProtection="1">
      <alignment horizontal="center" vertical="center"/>
      <protection hidden="1"/>
    </xf>
    <xf numFmtId="0" fontId="17" fillId="0" borderId="3" xfId="0" applyFont="1" applyBorder="1" applyAlignment="1" applyProtection="1">
      <alignment horizontal="center"/>
      <protection hidden="1"/>
    </xf>
    <xf numFmtId="1" fontId="17" fillId="3" borderId="4" xfId="0" applyNumberFormat="1" applyFont="1" applyFill="1" applyBorder="1" applyAlignment="1" applyProtection="1">
      <alignment horizontal="center" vertical="center"/>
      <protection hidden="1"/>
    </xf>
    <xf numFmtId="10" fontId="16" fillId="32" borderId="6" xfId="0" applyNumberFormat="1" applyFont="1" applyFill="1" applyBorder="1" applyProtection="1">
      <protection hidden="1"/>
    </xf>
    <xf numFmtId="0" fontId="17" fillId="0" borderId="7" xfId="0" applyFont="1" applyBorder="1" applyAlignment="1" applyProtection="1">
      <alignment horizontal="center"/>
      <protection hidden="1"/>
    </xf>
    <xf numFmtId="1" fontId="17" fillId="3" borderId="8" xfId="0" applyNumberFormat="1" applyFont="1" applyFill="1" applyBorder="1" applyAlignment="1" applyProtection="1">
      <alignment horizontal="center" vertical="center"/>
      <protection hidden="1"/>
    </xf>
    <xf numFmtId="1" fontId="17" fillId="5" borderId="35" xfId="0" applyNumberFormat="1" applyFont="1" applyFill="1" applyBorder="1" applyAlignment="1" applyProtection="1">
      <alignment horizontal="center" vertical="center"/>
      <protection hidden="1"/>
    </xf>
    <xf numFmtId="3" fontId="29" fillId="0" borderId="0" xfId="0" applyNumberFormat="1" applyFont="1" applyAlignment="1" applyProtection="1">
      <alignment horizontal="right"/>
      <protection hidden="1"/>
    </xf>
    <xf numFmtId="0" fontId="25" fillId="3" borderId="2" xfId="0" applyFont="1" applyFill="1" applyBorder="1" applyAlignment="1" applyProtection="1">
      <alignment horizontal="center" vertical="center"/>
      <protection hidden="1"/>
    </xf>
    <xf numFmtId="1" fontId="17" fillId="5" borderId="48" xfId="0" applyNumberFormat="1" applyFont="1" applyFill="1" applyBorder="1" applyAlignment="1" applyProtection="1">
      <alignment horizontal="center" vertical="center"/>
      <protection hidden="1"/>
    </xf>
    <xf numFmtId="0" fontId="19" fillId="3" borderId="21" xfId="0" applyFont="1" applyFill="1" applyBorder="1" applyAlignment="1" applyProtection="1">
      <alignment horizontal="center" vertical="center"/>
      <protection hidden="1"/>
    </xf>
    <xf numFmtId="9" fontId="19" fillId="5" borderId="52" xfId="0" applyNumberFormat="1" applyFont="1" applyFill="1" applyBorder="1" applyAlignment="1" applyProtection="1">
      <alignment horizontal="center" vertical="center"/>
      <protection hidden="1"/>
    </xf>
    <xf numFmtId="1" fontId="17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0" xfId="1" applyFont="1" applyAlignment="1" applyProtection="1">
      <protection hidden="1"/>
    </xf>
    <xf numFmtId="0" fontId="50" fillId="0" borderId="0" xfId="1" applyFont="1" applyAlignment="1" applyProtection="1">
      <protection hidden="1"/>
    </xf>
    <xf numFmtId="0" fontId="26" fillId="0" borderId="9" xfId="0" applyFont="1" applyBorder="1" applyAlignment="1" applyProtection="1">
      <alignment horizontal="center"/>
      <protection hidden="1"/>
    </xf>
    <xf numFmtId="0" fontId="48" fillId="0" borderId="10" xfId="0" applyFont="1" applyBorder="1" applyAlignment="1" applyProtection="1">
      <alignment horizontal="center" vertical="center"/>
      <protection hidden="1"/>
    </xf>
    <xf numFmtId="1" fontId="26" fillId="0" borderId="10" xfId="0" applyNumberFormat="1" applyFont="1" applyBorder="1" applyAlignment="1" applyProtection="1">
      <alignment horizontal="center" vertical="center"/>
      <protection hidden="1"/>
    </xf>
    <xf numFmtId="0" fontId="26" fillId="0" borderId="10" xfId="0" applyFont="1" applyBorder="1" applyAlignment="1" applyProtection="1">
      <alignment horizontal="center" vertical="center"/>
      <protection hidden="1"/>
    </xf>
    <xf numFmtId="1" fontId="33" fillId="0" borderId="10" xfId="0" applyNumberFormat="1" applyFont="1" applyBorder="1" applyAlignment="1" applyProtection="1">
      <alignment horizontal="center" vertical="center"/>
      <protection hidden="1"/>
    </xf>
    <xf numFmtId="1" fontId="26" fillId="3" borderId="10" xfId="0" applyNumberFormat="1" applyFont="1" applyFill="1" applyBorder="1" applyAlignment="1" applyProtection="1">
      <alignment horizontal="center" vertical="center"/>
      <protection hidden="1"/>
    </xf>
    <xf numFmtId="1" fontId="25" fillId="7" borderId="23" xfId="0" applyNumberFormat="1" applyFont="1" applyFill="1" applyBorder="1" applyAlignment="1" applyProtection="1">
      <alignment horizontal="center" vertical="center"/>
      <protection hidden="1"/>
    </xf>
    <xf numFmtId="10" fontId="16" fillId="32" borderId="0" xfId="0" applyNumberFormat="1" applyFont="1" applyFill="1" applyProtection="1">
      <protection hidden="1"/>
    </xf>
    <xf numFmtId="4" fontId="29" fillId="32" borderId="6" xfId="0" applyNumberFormat="1" applyFont="1" applyFill="1" applyBorder="1" applyAlignment="1" applyProtection="1">
      <alignment horizontal="center"/>
      <protection hidden="1"/>
    </xf>
    <xf numFmtId="3" fontId="29" fillId="4" borderId="6" xfId="0" applyNumberFormat="1" applyFont="1" applyFill="1" applyBorder="1" applyAlignment="1" applyProtection="1">
      <alignment horizontal="center"/>
      <protection hidden="1"/>
    </xf>
    <xf numFmtId="0" fontId="26" fillId="0" borderId="6" xfId="0" applyFont="1" applyBorder="1" applyAlignment="1" applyProtection="1">
      <alignment horizontal="center"/>
      <protection hidden="1"/>
    </xf>
    <xf numFmtId="1" fontId="26" fillId="3" borderId="6" xfId="0" applyNumberFormat="1" applyFont="1" applyFill="1" applyBorder="1" applyAlignment="1" applyProtection="1">
      <alignment horizontal="center" vertical="center"/>
      <protection hidden="1"/>
    </xf>
    <xf numFmtId="1" fontId="25" fillId="0" borderId="0" xfId="0" applyNumberFormat="1" applyFont="1" applyFill="1" applyBorder="1" applyAlignment="1" applyProtection="1">
      <alignment horizontal="center" vertical="center"/>
      <protection hidden="1"/>
    </xf>
    <xf numFmtId="167" fontId="21" fillId="22" borderId="13" xfId="0" applyNumberFormat="1" applyFont="1" applyFill="1" applyBorder="1" applyAlignment="1" applyProtection="1">
      <alignment horizontal="center"/>
      <protection hidden="1"/>
    </xf>
    <xf numFmtId="167" fontId="21" fillId="25" borderId="13" xfId="0" applyNumberFormat="1" applyFont="1" applyFill="1" applyBorder="1" applyAlignment="1" applyProtection="1">
      <alignment horizontal="center"/>
      <protection hidden="1"/>
    </xf>
    <xf numFmtId="0" fontId="25" fillId="0" borderId="0" xfId="0" applyFont="1" applyBorder="1" applyAlignment="1" applyProtection="1">
      <alignment horizontal="center"/>
      <protection hidden="1"/>
    </xf>
    <xf numFmtId="0" fontId="30" fillId="0" borderId="0" xfId="0" applyFont="1" applyAlignment="1" applyProtection="1">
      <alignment horizontal="left" vertical="justify" wrapText="1"/>
      <protection hidden="1"/>
    </xf>
    <xf numFmtId="0" fontId="19" fillId="0" borderId="0" xfId="0" applyFont="1" applyAlignment="1" applyProtection="1">
      <alignment horizontal="left" vertical="justify" wrapText="1"/>
      <protection hidden="1"/>
    </xf>
    <xf numFmtId="0" fontId="111" fillId="0" borderId="0" xfId="0" applyFont="1" applyProtection="1">
      <protection hidden="1"/>
    </xf>
    <xf numFmtId="1" fontId="21" fillId="19" borderId="0" xfId="0" applyNumberFormat="1" applyFont="1" applyFill="1" applyAlignment="1" applyProtection="1">
      <protection hidden="1"/>
    </xf>
    <xf numFmtId="1" fontId="19" fillId="19" borderId="0" xfId="0" applyNumberFormat="1" applyFont="1" applyFill="1" applyAlignment="1" applyProtection="1">
      <protection hidden="1"/>
    </xf>
    <xf numFmtId="1" fontId="19" fillId="19" borderId="0" xfId="0" applyNumberFormat="1" applyFont="1" applyFill="1" applyAlignment="1" applyProtection="1">
      <alignment horizontal="center" vertical="center"/>
      <protection hidden="1"/>
    </xf>
    <xf numFmtId="1" fontId="21" fillId="19" borderId="0" xfId="0" applyNumberFormat="1" applyFont="1" applyFill="1" applyAlignment="1" applyProtection="1">
      <alignment horizontal="center" vertical="center"/>
      <protection hidden="1"/>
    </xf>
    <xf numFmtId="166" fontId="21" fillId="19" borderId="0" xfId="0" applyNumberFormat="1" applyFont="1" applyFill="1" applyAlignment="1" applyProtection="1">
      <protection hidden="1"/>
    </xf>
    <xf numFmtId="3" fontId="29" fillId="19" borderId="0" xfId="0" applyNumberFormat="1" applyFont="1" applyFill="1" applyProtection="1">
      <protection hidden="1"/>
    </xf>
    <xf numFmtId="2" fontId="20" fillId="0" borderId="0" xfId="0" applyNumberFormat="1" applyFont="1" applyAlignment="1" applyProtection="1">
      <alignment horizontal="center"/>
      <protection hidden="1"/>
    </xf>
    <xf numFmtId="166" fontId="16" fillId="30" borderId="0" xfId="0" applyNumberFormat="1" applyFont="1" applyFill="1" applyProtection="1">
      <protection hidden="1"/>
    </xf>
    <xf numFmtId="0" fontId="16" fillId="26" borderId="0" xfId="0" applyFont="1" applyFill="1" applyProtection="1">
      <protection hidden="1"/>
    </xf>
    <xf numFmtId="10" fontId="16" fillId="26" borderId="0" xfId="0" applyNumberFormat="1" applyFont="1" applyFill="1" applyProtection="1">
      <protection hidden="1"/>
    </xf>
    <xf numFmtId="9" fontId="20" fillId="19" borderId="0" xfId="0" applyNumberFormat="1" applyFont="1" applyFill="1" applyProtection="1">
      <protection hidden="1"/>
    </xf>
    <xf numFmtId="9" fontId="19" fillId="19" borderId="0" xfId="0" applyNumberFormat="1" applyFont="1" applyFill="1" applyProtection="1">
      <protection hidden="1"/>
    </xf>
    <xf numFmtId="9" fontId="19" fillId="19" borderId="0" xfId="0" applyNumberFormat="1" applyFont="1" applyFill="1" applyAlignment="1" applyProtection="1">
      <alignment horizontal="center" vertical="center"/>
      <protection hidden="1"/>
    </xf>
    <xf numFmtId="0" fontId="20" fillId="28" borderId="3" xfId="0" applyFont="1" applyFill="1" applyBorder="1" applyAlignment="1" applyProtection="1">
      <alignment horizontal="center" vertical="center"/>
      <protection hidden="1"/>
    </xf>
    <xf numFmtId="0" fontId="20" fillId="28" borderId="4" xfId="0" applyFont="1" applyFill="1" applyBorder="1" applyAlignment="1" applyProtection="1">
      <alignment horizontal="center" vertical="center"/>
      <protection hidden="1"/>
    </xf>
    <xf numFmtId="1" fontId="20" fillId="28" borderId="4" xfId="0" applyNumberFormat="1" applyFont="1" applyFill="1" applyBorder="1" applyAlignment="1" applyProtection="1">
      <alignment horizontal="center" vertical="center"/>
      <protection hidden="1"/>
    </xf>
    <xf numFmtId="1" fontId="21" fillId="28" borderId="39" xfId="0" applyNumberFormat="1" applyFont="1" applyFill="1" applyBorder="1" applyAlignment="1" applyProtection="1">
      <alignment horizontal="center" vertical="center"/>
      <protection hidden="1"/>
    </xf>
    <xf numFmtId="1" fontId="58" fillId="28" borderId="4" xfId="0" applyNumberFormat="1" applyFont="1" applyFill="1" applyBorder="1" applyAlignment="1" applyProtection="1">
      <alignment horizontal="center" vertical="top"/>
      <protection hidden="1"/>
    </xf>
    <xf numFmtId="1" fontId="33" fillId="28" borderId="4" xfId="0" applyNumberFormat="1" applyFont="1" applyFill="1" applyBorder="1" applyAlignment="1" applyProtection="1">
      <alignment horizontal="center" vertical="top"/>
      <protection hidden="1"/>
    </xf>
    <xf numFmtId="166" fontId="76" fillId="28" borderId="4" xfId="0" applyNumberFormat="1" applyFont="1" applyFill="1" applyBorder="1" applyAlignment="1" applyProtection="1">
      <alignment horizontal="center" vertical="top"/>
      <protection hidden="1"/>
    </xf>
    <xf numFmtId="10" fontId="20" fillId="28" borderId="6" xfId="0" applyNumberFormat="1" applyFont="1" applyFill="1" applyBorder="1" applyAlignment="1" applyProtection="1">
      <alignment horizontal="center"/>
      <protection hidden="1"/>
    </xf>
    <xf numFmtId="10" fontId="20" fillId="7" borderId="29" xfId="0" applyNumberFormat="1" applyFont="1" applyFill="1" applyBorder="1" applyAlignment="1" applyProtection="1">
      <alignment horizontal="center"/>
      <protection hidden="1"/>
    </xf>
    <xf numFmtId="166" fontId="21" fillId="28" borderId="18" xfId="0" applyNumberFormat="1" applyFont="1" applyFill="1" applyBorder="1" applyAlignment="1" applyProtection="1">
      <alignment horizontal="center" vertical="center"/>
      <protection hidden="1"/>
    </xf>
    <xf numFmtId="0" fontId="20" fillId="28" borderId="5" xfId="0" applyFont="1" applyFill="1" applyBorder="1" applyAlignment="1" applyProtection="1">
      <alignment horizontal="center"/>
      <protection hidden="1"/>
    </xf>
    <xf numFmtId="1" fontId="21" fillId="28" borderId="50" xfId="0" applyNumberFormat="1" applyFont="1" applyFill="1" applyBorder="1" applyAlignment="1" applyProtection="1">
      <alignment horizontal="center" vertical="center"/>
      <protection hidden="1"/>
    </xf>
    <xf numFmtId="1" fontId="58" fillId="28" borderId="6" xfId="0" applyNumberFormat="1" applyFont="1" applyFill="1" applyBorder="1" applyAlignment="1" applyProtection="1">
      <alignment horizontal="center" vertical="top"/>
      <protection hidden="1"/>
    </xf>
    <xf numFmtId="166" fontId="33" fillId="28" borderId="6" xfId="0" applyNumberFormat="1" applyFont="1" applyFill="1" applyBorder="1" applyAlignment="1" applyProtection="1">
      <alignment horizontal="center" vertical="top"/>
      <protection hidden="1"/>
    </xf>
    <xf numFmtId="10" fontId="20" fillId="7" borderId="26" xfId="0" applyNumberFormat="1" applyFont="1" applyFill="1" applyBorder="1" applyAlignment="1" applyProtection="1">
      <alignment horizontal="center"/>
      <protection hidden="1"/>
    </xf>
    <xf numFmtId="166" fontId="20" fillId="28" borderId="26" xfId="0" applyNumberFormat="1" applyFont="1" applyFill="1" applyBorder="1" applyAlignment="1" applyProtection="1">
      <alignment horizontal="center" vertical="center"/>
      <protection hidden="1"/>
    </xf>
    <xf numFmtId="10" fontId="76" fillId="28" borderId="50" xfId="0" applyNumberFormat="1" applyFont="1" applyFill="1" applyBorder="1" applyAlignment="1" applyProtection="1">
      <alignment horizontal="center"/>
      <protection hidden="1"/>
    </xf>
    <xf numFmtId="1" fontId="20" fillId="19" borderId="13" xfId="0" applyNumberFormat="1" applyFont="1" applyFill="1" applyBorder="1" applyAlignment="1" applyProtection="1">
      <alignment horizontal="center" vertical="center"/>
      <protection hidden="1"/>
    </xf>
    <xf numFmtId="10" fontId="76" fillId="28" borderId="6" xfId="0" applyNumberFormat="1" applyFont="1" applyFill="1" applyBorder="1" applyAlignment="1" applyProtection="1">
      <alignment horizontal="center"/>
      <protection hidden="1"/>
    </xf>
    <xf numFmtId="10" fontId="76" fillId="7" borderId="26" xfId="0" applyNumberFormat="1" applyFont="1" applyFill="1" applyBorder="1" applyAlignment="1" applyProtection="1">
      <alignment horizontal="center"/>
      <protection hidden="1"/>
    </xf>
    <xf numFmtId="1" fontId="21" fillId="5" borderId="72" xfId="0" applyNumberFormat="1" applyFont="1" applyFill="1" applyBorder="1" applyAlignment="1" applyProtection="1">
      <alignment horizontal="center" vertical="center"/>
      <protection hidden="1"/>
    </xf>
    <xf numFmtId="1" fontId="58" fillId="10" borderId="8" xfId="0" applyNumberFormat="1" applyFont="1" applyFill="1" applyBorder="1" applyAlignment="1" applyProtection="1">
      <alignment horizontal="center" vertical="top"/>
      <protection hidden="1"/>
    </xf>
    <xf numFmtId="10" fontId="76" fillId="7" borderId="28" xfId="0" applyNumberFormat="1" applyFont="1" applyFill="1" applyBorder="1" applyAlignment="1" applyProtection="1">
      <alignment horizontal="center"/>
      <protection hidden="1"/>
    </xf>
    <xf numFmtId="3" fontId="20" fillId="19" borderId="4" xfId="0" applyNumberFormat="1" applyFont="1" applyFill="1" applyBorder="1" applyAlignment="1" applyProtection="1">
      <alignment horizontal="center" vertical="center"/>
      <protection hidden="1"/>
    </xf>
    <xf numFmtId="3" fontId="19" fillId="7" borderId="39" xfId="0" applyNumberFormat="1" applyFont="1" applyFill="1" applyBorder="1" applyAlignment="1" applyProtection="1">
      <alignment horizontal="center" vertical="center"/>
      <protection hidden="1"/>
    </xf>
    <xf numFmtId="1" fontId="21" fillId="28" borderId="47" xfId="0" applyNumberFormat="1" applyFont="1" applyFill="1" applyBorder="1" applyAlignment="1" applyProtection="1">
      <alignment horizontal="center" vertical="center"/>
      <protection hidden="1"/>
    </xf>
    <xf numFmtId="1" fontId="58" fillId="28" borderId="4" xfId="0" applyNumberFormat="1" applyFont="1" applyFill="1" applyBorder="1" applyAlignment="1" applyProtection="1">
      <alignment horizontal="center" vertical="center"/>
      <protection hidden="1"/>
    </xf>
    <xf numFmtId="166" fontId="20" fillId="28" borderId="4" xfId="0" applyNumberFormat="1" applyFont="1" applyFill="1" applyBorder="1" applyAlignment="1" applyProtection="1">
      <alignment horizontal="center" vertical="top"/>
      <protection hidden="1"/>
    </xf>
    <xf numFmtId="10" fontId="20" fillId="28" borderId="39" xfId="0" applyNumberFormat="1" applyFont="1" applyFill="1" applyBorder="1" applyAlignment="1" applyProtection="1">
      <alignment horizontal="center"/>
      <protection hidden="1"/>
    </xf>
    <xf numFmtId="3" fontId="20" fillId="19" borderId="13" xfId="0" applyNumberFormat="1" applyFont="1" applyFill="1" applyBorder="1" applyAlignment="1" applyProtection="1">
      <alignment horizontal="center" vertical="center"/>
      <protection hidden="1"/>
    </xf>
    <xf numFmtId="3" fontId="19" fillId="7" borderId="50" xfId="0" applyNumberFormat="1" applyFont="1" applyFill="1" applyBorder="1" applyAlignment="1" applyProtection="1">
      <alignment horizontal="center" vertical="center"/>
      <protection hidden="1"/>
    </xf>
    <xf numFmtId="0" fontId="20" fillId="28" borderId="12" xfId="0" applyFont="1" applyFill="1" applyBorder="1" applyAlignment="1" applyProtection="1">
      <alignment horizontal="center" vertical="center"/>
      <protection hidden="1"/>
    </xf>
    <xf numFmtId="3" fontId="20" fillId="19" borderId="6" xfId="0" applyNumberFormat="1" applyFont="1" applyFill="1" applyBorder="1" applyAlignment="1" applyProtection="1">
      <alignment horizontal="center" vertical="center"/>
      <protection hidden="1"/>
    </xf>
    <xf numFmtId="1" fontId="21" fillId="28" borderId="33" xfId="0" applyNumberFormat="1" applyFont="1" applyFill="1" applyBorder="1" applyAlignment="1" applyProtection="1">
      <alignment horizontal="center" vertical="center"/>
      <protection hidden="1"/>
    </xf>
    <xf numFmtId="166" fontId="21" fillId="28" borderId="26" xfId="0" applyNumberFormat="1" applyFont="1" applyFill="1" applyBorder="1" applyAlignment="1" applyProtection="1">
      <alignment horizontal="center" vertical="center"/>
      <protection hidden="1"/>
    </xf>
    <xf numFmtId="3" fontId="20" fillId="19" borderId="8" xfId="0" applyNumberFormat="1" applyFont="1" applyFill="1" applyBorder="1" applyAlignment="1" applyProtection="1">
      <alignment horizontal="center" vertical="center"/>
      <protection hidden="1"/>
    </xf>
    <xf numFmtId="3" fontId="19" fillId="7" borderId="72" xfId="0" applyNumberFormat="1" applyFont="1" applyFill="1" applyBorder="1" applyAlignment="1" applyProtection="1">
      <alignment horizontal="center" vertical="center"/>
      <protection hidden="1"/>
    </xf>
    <xf numFmtId="1" fontId="21" fillId="28" borderId="48" xfId="0" applyNumberFormat="1" applyFont="1" applyFill="1" applyBorder="1" applyAlignment="1" applyProtection="1">
      <alignment horizontal="center" vertical="center"/>
      <protection hidden="1"/>
    </xf>
    <xf numFmtId="3" fontId="20" fillId="4" borderId="0" xfId="0" applyNumberFormat="1" applyFont="1" applyFill="1" applyBorder="1" applyAlignment="1" applyProtection="1">
      <alignment horizontal="center" vertical="center"/>
      <protection hidden="1"/>
    </xf>
    <xf numFmtId="3" fontId="19" fillId="7" borderId="20" xfId="0" applyNumberFormat="1" applyFont="1" applyFill="1" applyBorder="1" applyAlignment="1" applyProtection="1">
      <alignment horizontal="center" vertical="center"/>
      <protection hidden="1"/>
    </xf>
    <xf numFmtId="3" fontId="19" fillId="7" borderId="32" xfId="0" applyNumberFormat="1" applyFont="1" applyFill="1" applyBorder="1" applyAlignment="1" applyProtection="1">
      <alignment horizontal="center" vertical="center"/>
      <protection hidden="1"/>
    </xf>
    <xf numFmtId="0" fontId="20" fillId="0" borderId="4" xfId="0" applyFont="1" applyFill="1" applyBorder="1" applyAlignment="1" applyProtection="1">
      <alignment horizontal="center"/>
      <protection hidden="1"/>
    </xf>
    <xf numFmtId="3" fontId="20" fillId="3" borderId="4" xfId="0" applyNumberFormat="1" applyFont="1" applyFill="1" applyBorder="1" applyAlignment="1" applyProtection="1">
      <alignment horizontal="center" vertical="center"/>
      <protection hidden="1"/>
    </xf>
    <xf numFmtId="1" fontId="58" fillId="10" borderId="4" xfId="0" applyNumberFormat="1" applyFont="1" applyFill="1" applyBorder="1" applyAlignment="1" applyProtection="1">
      <alignment horizontal="center" vertical="top"/>
      <protection hidden="1"/>
    </xf>
    <xf numFmtId="10" fontId="20" fillId="7" borderId="55" xfId="0" applyNumberFormat="1" applyFont="1" applyFill="1" applyBorder="1" applyAlignment="1" applyProtection="1">
      <alignment horizontal="center"/>
      <protection hidden="1"/>
    </xf>
    <xf numFmtId="3" fontId="20" fillId="3" borderId="14" xfId="0" applyNumberFormat="1" applyFont="1" applyFill="1" applyBorder="1" applyAlignment="1" applyProtection="1">
      <alignment horizontal="center" vertical="center"/>
      <protection hidden="1"/>
    </xf>
    <xf numFmtId="3" fontId="19" fillId="7" borderId="74" xfId="0" applyNumberFormat="1" applyFont="1" applyFill="1" applyBorder="1" applyAlignment="1" applyProtection="1">
      <alignment horizontal="center" vertical="center"/>
      <protection hidden="1"/>
    </xf>
    <xf numFmtId="10" fontId="20" fillId="7" borderId="62" xfId="0" applyNumberFormat="1" applyFont="1" applyFill="1" applyBorder="1" applyAlignment="1" applyProtection="1">
      <alignment horizontal="center"/>
      <protection hidden="1"/>
    </xf>
    <xf numFmtId="0" fontId="17" fillId="0" borderId="5" xfId="0" applyFont="1" applyFill="1" applyBorder="1" applyAlignment="1" applyProtection="1">
      <alignment horizontal="left" vertical="center"/>
      <protection hidden="1"/>
    </xf>
    <xf numFmtId="0" fontId="30" fillId="0" borderId="13" xfId="0" applyFont="1" applyBorder="1" applyAlignment="1" applyProtection="1">
      <alignment horizontal="center" vertical="center"/>
      <protection hidden="1"/>
    </xf>
    <xf numFmtId="0" fontId="17" fillId="0" borderId="6" xfId="0" applyFont="1" applyFill="1" applyBorder="1" applyAlignment="1" applyProtection="1">
      <alignment horizontal="center"/>
      <protection hidden="1"/>
    </xf>
    <xf numFmtId="3" fontId="20" fillId="3" borderId="0" xfId="0" applyNumberFormat="1" applyFont="1" applyFill="1" applyBorder="1" applyAlignment="1" applyProtection="1">
      <alignment horizontal="center" vertical="center"/>
      <protection hidden="1"/>
    </xf>
    <xf numFmtId="3" fontId="26" fillId="7" borderId="6" xfId="0" applyNumberFormat="1" applyFont="1" applyFill="1" applyBorder="1" applyAlignment="1" applyProtection="1">
      <alignment horizontal="center" vertical="center"/>
      <protection hidden="1"/>
    </xf>
    <xf numFmtId="3" fontId="19" fillId="7" borderId="6" xfId="0" applyNumberFormat="1" applyFont="1" applyFill="1" applyBorder="1" applyAlignment="1" applyProtection="1">
      <alignment horizontal="center" vertical="center"/>
      <protection hidden="1"/>
    </xf>
    <xf numFmtId="1" fontId="21" fillId="5" borderId="0" xfId="0" applyNumberFormat="1" applyFont="1" applyFill="1" applyBorder="1" applyAlignment="1" applyProtection="1">
      <alignment horizontal="center" vertical="center"/>
      <protection hidden="1"/>
    </xf>
    <xf numFmtId="2" fontId="32" fillId="10" borderId="0" xfId="0" applyNumberFormat="1" applyFont="1" applyFill="1" applyBorder="1" applyAlignment="1" applyProtection="1">
      <alignment horizontal="center" vertical="top" wrapText="1"/>
      <protection hidden="1"/>
    </xf>
    <xf numFmtId="0" fontId="17" fillId="0" borderId="8" xfId="0" applyFont="1" applyFill="1" applyBorder="1" applyAlignment="1" applyProtection="1">
      <alignment horizontal="center"/>
      <protection hidden="1"/>
    </xf>
    <xf numFmtId="3" fontId="20" fillId="0" borderId="0" xfId="0" applyNumberFormat="1" applyFont="1" applyFill="1" applyBorder="1" applyAlignment="1" applyProtection="1">
      <alignment horizontal="center" vertical="center"/>
      <protection hidden="1"/>
    </xf>
    <xf numFmtId="3" fontId="19" fillId="0" borderId="0" xfId="0" applyNumberFormat="1" applyFont="1" applyFill="1" applyBorder="1" applyAlignment="1" applyProtection="1">
      <alignment horizontal="center" vertical="center"/>
      <protection hidden="1"/>
    </xf>
    <xf numFmtId="3" fontId="20" fillId="3" borderId="13" xfId="0" applyNumberFormat="1" applyFont="1" applyFill="1" applyBorder="1" applyAlignment="1" applyProtection="1">
      <alignment horizontal="center" vertical="center"/>
      <protection hidden="1"/>
    </xf>
    <xf numFmtId="3" fontId="19" fillId="7" borderId="13" xfId="0" applyNumberFormat="1" applyFont="1" applyFill="1" applyBorder="1" applyAlignment="1" applyProtection="1">
      <alignment horizontal="center" vertical="center"/>
      <protection hidden="1"/>
    </xf>
    <xf numFmtId="10" fontId="21" fillId="10" borderId="76" xfId="0" applyNumberFormat="1" applyFont="1" applyFill="1" applyBorder="1" applyAlignment="1" applyProtection="1">
      <alignment horizontal="center"/>
      <protection hidden="1"/>
    </xf>
    <xf numFmtId="10" fontId="76" fillId="7" borderId="0" xfId="0" applyNumberFormat="1" applyFont="1" applyFill="1" applyBorder="1" applyAlignment="1" applyProtection="1">
      <alignment horizontal="center"/>
      <protection hidden="1"/>
    </xf>
    <xf numFmtId="1" fontId="20" fillId="28" borderId="26" xfId="0" applyNumberFormat="1" applyFont="1" applyFill="1" applyBorder="1" applyAlignment="1" applyProtection="1">
      <alignment horizontal="center" vertical="center"/>
      <protection hidden="1"/>
    </xf>
    <xf numFmtId="1" fontId="21" fillId="28" borderId="6" xfId="0" applyNumberFormat="1" applyFont="1" applyFill="1" applyBorder="1" applyAlignment="1" applyProtection="1">
      <alignment horizontal="center" vertical="center"/>
      <protection hidden="1"/>
    </xf>
    <xf numFmtId="1" fontId="58" fillId="28" borderId="26" xfId="0" applyNumberFormat="1" applyFont="1" applyFill="1" applyBorder="1" applyAlignment="1" applyProtection="1">
      <alignment horizontal="center" vertical="center"/>
      <protection hidden="1"/>
    </xf>
    <xf numFmtId="10" fontId="21" fillId="7" borderId="58" xfId="0" applyNumberFormat="1" applyFont="1" applyFill="1" applyBorder="1" applyAlignment="1" applyProtection="1">
      <alignment horizontal="center"/>
      <protection hidden="1"/>
    </xf>
    <xf numFmtId="166" fontId="20" fillId="28" borderId="5" xfId="0" applyNumberFormat="1" applyFont="1" applyFill="1" applyBorder="1" applyAlignment="1" applyProtection="1">
      <alignment horizontal="center" vertical="center"/>
      <protection hidden="1"/>
    </xf>
    <xf numFmtId="10" fontId="76" fillId="28" borderId="34" xfId="0" applyNumberFormat="1" applyFont="1" applyFill="1" applyBorder="1" applyAlignment="1" applyProtection="1">
      <alignment horizontal="center"/>
      <protection hidden="1"/>
    </xf>
    <xf numFmtId="10" fontId="76" fillId="7" borderId="58" xfId="0" applyNumberFormat="1" applyFont="1" applyFill="1" applyBorder="1" applyAlignment="1" applyProtection="1">
      <alignment horizontal="center"/>
      <protection hidden="1"/>
    </xf>
    <xf numFmtId="166" fontId="21" fillId="28" borderId="5" xfId="0" applyNumberFormat="1" applyFont="1" applyFill="1" applyBorder="1" applyAlignment="1" applyProtection="1">
      <alignment horizontal="center" vertical="center"/>
      <protection hidden="1"/>
    </xf>
    <xf numFmtId="3" fontId="20" fillId="3" borderId="6" xfId="0" applyNumberFormat="1" applyFont="1" applyFill="1" applyBorder="1" applyAlignment="1" applyProtection="1">
      <alignment horizontal="center" vertical="center"/>
      <protection hidden="1"/>
    </xf>
    <xf numFmtId="3" fontId="20" fillId="3" borderId="8" xfId="0" applyNumberFormat="1" applyFont="1" applyFill="1" applyBorder="1" applyAlignment="1" applyProtection="1">
      <alignment horizontal="center" vertical="center"/>
      <protection hidden="1"/>
    </xf>
    <xf numFmtId="3" fontId="19" fillId="7" borderId="8" xfId="0" applyNumberFormat="1" applyFont="1" applyFill="1" applyBorder="1" applyAlignment="1" applyProtection="1">
      <alignment horizontal="center" vertical="center"/>
      <protection hidden="1"/>
    </xf>
    <xf numFmtId="10" fontId="76" fillId="7" borderId="29" xfId="0" applyNumberFormat="1" applyFont="1" applyFill="1" applyBorder="1" applyAlignment="1" applyProtection="1">
      <alignment horizontal="center"/>
      <protection hidden="1"/>
    </xf>
    <xf numFmtId="1" fontId="20" fillId="3" borderId="37" xfId="0" applyNumberFormat="1" applyFont="1" applyFill="1" applyBorder="1" applyAlignment="1" applyProtection="1">
      <alignment horizontal="center" vertical="center"/>
      <protection hidden="1"/>
    </xf>
    <xf numFmtId="10" fontId="20" fillId="7" borderId="31" xfId="0" applyNumberFormat="1" applyFont="1" applyFill="1" applyBorder="1" applyAlignment="1" applyProtection="1">
      <alignment horizontal="center"/>
      <protection hidden="1"/>
    </xf>
    <xf numFmtId="166" fontId="20" fillId="10" borderId="15" xfId="0" applyNumberFormat="1" applyFont="1" applyFill="1" applyBorder="1" applyAlignment="1" applyProtection="1">
      <alignment horizontal="center" vertical="center"/>
      <protection hidden="1"/>
    </xf>
    <xf numFmtId="166" fontId="21" fillId="22" borderId="16" xfId="0" applyNumberFormat="1" applyFont="1" applyFill="1" applyBorder="1" applyAlignment="1" applyProtection="1">
      <alignment horizontal="center"/>
      <protection hidden="1"/>
    </xf>
    <xf numFmtId="166" fontId="21" fillId="22" borderId="17" xfId="0" applyNumberFormat="1" applyFont="1" applyFill="1" applyBorder="1" applyAlignment="1" applyProtection="1">
      <alignment horizontal="center"/>
      <protection hidden="1"/>
    </xf>
    <xf numFmtId="166" fontId="21" fillId="25" borderId="16" xfId="0" applyNumberFormat="1" applyFont="1" applyFill="1" applyBorder="1" applyAlignment="1" applyProtection="1">
      <alignment horizontal="center"/>
      <protection hidden="1"/>
    </xf>
    <xf numFmtId="10" fontId="21" fillId="22" borderId="17" xfId="0" applyNumberFormat="1" applyFont="1" applyFill="1" applyBorder="1" applyAlignment="1" applyProtection="1">
      <alignment horizontal="center"/>
      <protection hidden="1"/>
    </xf>
    <xf numFmtId="166" fontId="21" fillId="21" borderId="17" xfId="0" applyNumberFormat="1" applyFont="1" applyFill="1" applyBorder="1" applyAlignment="1" applyProtection="1">
      <alignment horizontal="center"/>
      <protection hidden="1"/>
    </xf>
    <xf numFmtId="10" fontId="21" fillId="21" borderId="77" xfId="0" applyNumberFormat="1" applyFont="1" applyFill="1" applyBorder="1" applyAlignment="1" applyProtection="1">
      <alignment horizontal="center"/>
      <protection hidden="1"/>
    </xf>
    <xf numFmtId="0" fontId="17" fillId="0" borderId="5" xfId="0" applyFont="1" applyBorder="1" applyAlignment="1" applyProtection="1">
      <alignment horizontal="center"/>
      <protection hidden="1"/>
    </xf>
    <xf numFmtId="1" fontId="20" fillId="3" borderId="0" xfId="0" applyNumberFormat="1" applyFont="1" applyFill="1" applyBorder="1" applyAlignment="1" applyProtection="1">
      <alignment horizontal="center" vertical="center"/>
      <protection hidden="1"/>
    </xf>
    <xf numFmtId="1" fontId="30" fillId="0" borderId="26" xfId="0" applyNumberFormat="1" applyFont="1" applyBorder="1" applyAlignment="1" applyProtection="1">
      <alignment horizontal="center" vertical="center"/>
      <protection hidden="1"/>
    </xf>
    <xf numFmtId="10" fontId="76" fillId="25" borderId="6" xfId="0" applyNumberFormat="1" applyFont="1" applyFill="1" applyBorder="1" applyAlignment="1" applyProtection="1">
      <alignment horizontal="center"/>
      <protection hidden="1"/>
    </xf>
    <xf numFmtId="1" fontId="30" fillId="0" borderId="28" xfId="0" applyNumberFormat="1" applyFont="1" applyBorder="1" applyAlignment="1" applyProtection="1">
      <alignment horizontal="center" vertical="center"/>
      <protection hidden="1"/>
    </xf>
    <xf numFmtId="1" fontId="17" fillId="0" borderId="17" xfId="0" applyNumberFormat="1" applyFont="1" applyBorder="1" applyAlignment="1" applyProtection="1">
      <alignment horizontal="center" vertical="center"/>
      <protection hidden="1"/>
    </xf>
    <xf numFmtId="1" fontId="20" fillId="28" borderId="29" xfId="0" applyNumberFormat="1" applyFont="1" applyFill="1" applyBorder="1" applyAlignment="1" applyProtection="1">
      <alignment horizontal="center" vertical="center"/>
      <protection hidden="1"/>
    </xf>
    <xf numFmtId="1" fontId="20" fillId="28" borderId="13" xfId="0" applyNumberFormat="1" applyFont="1" applyFill="1" applyBorder="1" applyAlignment="1" applyProtection="1">
      <alignment horizontal="center" vertical="center"/>
      <protection hidden="1"/>
    </xf>
    <xf numFmtId="1" fontId="58" fillId="28" borderId="13" xfId="0" applyNumberFormat="1" applyFont="1" applyFill="1" applyBorder="1" applyAlignment="1" applyProtection="1">
      <alignment horizontal="center" vertical="center"/>
      <protection hidden="1"/>
    </xf>
    <xf numFmtId="1" fontId="33" fillId="28" borderId="13" xfId="0" applyNumberFormat="1" applyFont="1" applyFill="1" applyBorder="1" applyAlignment="1" applyProtection="1">
      <alignment horizontal="center" vertical="top"/>
      <protection hidden="1"/>
    </xf>
    <xf numFmtId="166" fontId="76" fillId="28" borderId="13" xfId="0" applyNumberFormat="1" applyFont="1" applyFill="1" applyBorder="1" applyAlignment="1" applyProtection="1">
      <alignment horizontal="center" vertical="top"/>
      <protection hidden="1"/>
    </xf>
    <xf numFmtId="10" fontId="20" fillId="28" borderId="33" xfId="0" applyNumberFormat="1" applyFont="1" applyFill="1" applyBorder="1" applyAlignment="1" applyProtection="1">
      <alignment horizontal="center"/>
      <protection hidden="1"/>
    </xf>
    <xf numFmtId="10" fontId="20" fillId="7" borderId="65" xfId="0" applyNumberFormat="1" applyFont="1" applyFill="1" applyBorder="1" applyAlignment="1" applyProtection="1">
      <alignment horizontal="center"/>
      <protection hidden="1"/>
    </xf>
    <xf numFmtId="166" fontId="21" fillId="28" borderId="3" xfId="0" applyNumberFormat="1" applyFont="1" applyFill="1" applyBorder="1" applyAlignment="1" applyProtection="1">
      <alignment horizontal="center" vertical="center"/>
      <protection hidden="1"/>
    </xf>
    <xf numFmtId="10" fontId="20" fillId="7" borderId="58" xfId="0" applyNumberFormat="1" applyFont="1" applyFill="1" applyBorder="1" applyAlignment="1" applyProtection="1">
      <alignment horizontal="center"/>
      <protection hidden="1"/>
    </xf>
    <xf numFmtId="0" fontId="20" fillId="28" borderId="5" xfId="0" applyFont="1" applyFill="1" applyBorder="1" applyAlignment="1" applyProtection="1">
      <alignment horizontal="center" vertical="center"/>
      <protection hidden="1"/>
    </xf>
    <xf numFmtId="0" fontId="20" fillId="28" borderId="7" xfId="0" applyFont="1" applyFill="1" applyBorder="1" applyAlignment="1" applyProtection="1">
      <alignment horizontal="center" vertical="center"/>
      <protection hidden="1"/>
    </xf>
    <xf numFmtId="10" fontId="20" fillId="7" borderId="69" xfId="0" applyNumberFormat="1" applyFont="1" applyFill="1" applyBorder="1" applyAlignment="1" applyProtection="1">
      <alignment horizontal="center"/>
      <protection hidden="1"/>
    </xf>
    <xf numFmtId="166" fontId="20" fillId="28" borderId="7" xfId="0" applyNumberFormat="1" applyFont="1" applyFill="1" applyBorder="1" applyAlignment="1" applyProtection="1">
      <alignment horizontal="center" vertical="center"/>
      <protection hidden="1"/>
    </xf>
    <xf numFmtId="10" fontId="21" fillId="28" borderId="72" xfId="0" applyNumberFormat="1" applyFont="1" applyFill="1" applyBorder="1" applyAlignment="1" applyProtection="1">
      <alignment horizontal="center"/>
      <protection hidden="1"/>
    </xf>
    <xf numFmtId="10" fontId="24" fillId="4" borderId="41" xfId="0" applyNumberFormat="1" applyFont="1" applyFill="1" applyBorder="1" applyAlignment="1" applyProtection="1">
      <alignment horizontal="center"/>
      <protection hidden="1"/>
    </xf>
    <xf numFmtId="1" fontId="20" fillId="0" borderId="18" xfId="0" applyNumberFormat="1" applyFont="1" applyBorder="1" applyAlignment="1" applyProtection="1">
      <alignment horizontal="center" vertical="center"/>
      <protection hidden="1"/>
    </xf>
    <xf numFmtId="1" fontId="58" fillId="10" borderId="13" xfId="0" applyNumberFormat="1" applyFont="1" applyFill="1" applyBorder="1" applyAlignment="1" applyProtection="1">
      <alignment horizontal="center" vertical="top"/>
      <protection hidden="1"/>
    </xf>
    <xf numFmtId="10" fontId="21" fillId="28" borderId="33" xfId="0" applyNumberFormat="1" applyFont="1" applyFill="1" applyBorder="1" applyAlignment="1" applyProtection="1">
      <alignment horizontal="center"/>
      <protection hidden="1"/>
    </xf>
    <xf numFmtId="1" fontId="20" fillId="0" borderId="28" xfId="0" applyNumberFormat="1" applyFont="1" applyBorder="1" applyAlignment="1" applyProtection="1">
      <alignment horizontal="center" vertical="center"/>
      <protection hidden="1"/>
    </xf>
    <xf numFmtId="10" fontId="76" fillId="7" borderId="65" xfId="0" applyNumberFormat="1" applyFont="1" applyFill="1" applyBorder="1" applyAlignment="1" applyProtection="1">
      <alignment horizontal="center"/>
      <protection hidden="1"/>
    </xf>
    <xf numFmtId="10" fontId="21" fillId="7" borderId="40" xfId="0" applyNumberFormat="1" applyFont="1" applyFill="1" applyBorder="1" applyAlignment="1" applyProtection="1">
      <alignment horizontal="center"/>
      <protection hidden="1"/>
    </xf>
    <xf numFmtId="10" fontId="76" fillId="10" borderId="47" xfId="0" applyNumberFormat="1" applyFont="1" applyFill="1" applyBorder="1" applyAlignment="1" applyProtection="1">
      <alignment horizontal="center"/>
      <protection hidden="1"/>
    </xf>
    <xf numFmtId="10" fontId="76" fillId="7" borderId="55" xfId="0" applyNumberFormat="1" applyFont="1" applyFill="1" applyBorder="1" applyAlignment="1" applyProtection="1">
      <alignment horizontal="center"/>
      <protection hidden="1"/>
    </xf>
    <xf numFmtId="1" fontId="21" fillId="28" borderId="37" xfId="0" applyNumberFormat="1" applyFont="1" applyFill="1" applyBorder="1" applyAlignment="1" applyProtection="1">
      <alignment horizontal="center" vertical="center"/>
      <protection hidden="1"/>
    </xf>
    <xf numFmtId="1" fontId="58" fillId="28" borderId="7" xfId="0" applyNumberFormat="1" applyFont="1" applyFill="1" applyBorder="1" applyAlignment="1" applyProtection="1">
      <alignment horizontal="center" vertical="center"/>
      <protection hidden="1"/>
    </xf>
    <xf numFmtId="166" fontId="21" fillId="28" borderId="7" xfId="0" applyNumberFormat="1" applyFont="1" applyFill="1" applyBorder="1" applyAlignment="1" applyProtection="1">
      <alignment horizontal="center" vertical="center"/>
      <protection hidden="1"/>
    </xf>
    <xf numFmtId="10" fontId="76" fillId="28" borderId="72" xfId="0" applyNumberFormat="1" applyFont="1" applyFill="1" applyBorder="1" applyAlignment="1" applyProtection="1">
      <alignment horizontal="center"/>
      <protection hidden="1"/>
    </xf>
    <xf numFmtId="1" fontId="58" fillId="28" borderId="3" xfId="0" applyNumberFormat="1" applyFont="1" applyFill="1" applyBorder="1" applyAlignment="1" applyProtection="1">
      <alignment horizontal="center" vertical="top"/>
      <protection hidden="1"/>
    </xf>
    <xf numFmtId="10" fontId="21" fillId="28" borderId="47" xfId="0" applyNumberFormat="1" applyFont="1" applyFill="1" applyBorder="1" applyAlignment="1" applyProtection="1">
      <alignment horizontal="center"/>
      <protection hidden="1"/>
    </xf>
    <xf numFmtId="1" fontId="58" fillId="28" borderId="5" xfId="0" applyNumberFormat="1" applyFont="1" applyFill="1" applyBorder="1" applyAlignment="1" applyProtection="1">
      <alignment horizontal="center" vertical="top"/>
      <protection hidden="1"/>
    </xf>
    <xf numFmtId="1" fontId="33" fillId="28" borderId="0" xfId="0" applyNumberFormat="1" applyFont="1" applyFill="1" applyBorder="1" applyAlignment="1" applyProtection="1">
      <alignment horizontal="right" vertical="top"/>
      <protection hidden="1"/>
    </xf>
    <xf numFmtId="1" fontId="33" fillId="28" borderId="0" xfId="0" applyNumberFormat="1" applyFont="1" applyFill="1" applyBorder="1" applyAlignment="1" applyProtection="1">
      <alignment horizontal="center" vertical="top"/>
      <protection hidden="1"/>
    </xf>
    <xf numFmtId="166" fontId="20" fillId="28" borderId="0" xfId="0" applyNumberFormat="1" applyFont="1" applyFill="1" applyBorder="1" applyAlignment="1" applyProtection="1">
      <alignment horizontal="center" vertical="top"/>
      <protection hidden="1"/>
    </xf>
    <xf numFmtId="2" fontId="21" fillId="28" borderId="0" xfId="0" applyNumberFormat="1" applyFont="1" applyFill="1" applyBorder="1" applyAlignment="1" applyProtection="1">
      <alignment horizontal="center"/>
      <protection hidden="1"/>
    </xf>
    <xf numFmtId="10" fontId="21" fillId="28" borderId="0" xfId="0" applyNumberFormat="1" applyFont="1" applyFill="1" applyBorder="1" applyAlignment="1" applyProtection="1">
      <alignment horizontal="center"/>
      <protection hidden="1"/>
    </xf>
    <xf numFmtId="1" fontId="20" fillId="0" borderId="26" xfId="0" applyNumberFormat="1" applyFont="1" applyBorder="1" applyAlignment="1" applyProtection="1">
      <alignment horizontal="center" vertical="center"/>
      <protection hidden="1"/>
    </xf>
    <xf numFmtId="1" fontId="20" fillId="28" borderId="30" xfId="0" applyNumberFormat="1" applyFont="1" applyFill="1" applyBorder="1" applyAlignment="1" applyProtection="1">
      <alignment horizontal="center" vertical="center"/>
      <protection hidden="1"/>
    </xf>
    <xf numFmtId="0" fontId="20" fillId="28" borderId="13" xfId="0" applyFont="1" applyFill="1" applyBorder="1" applyAlignment="1" applyProtection="1">
      <alignment horizontal="center" vertical="center"/>
      <protection hidden="1"/>
    </xf>
    <xf numFmtId="10" fontId="76" fillId="10" borderId="34" xfId="0" applyNumberFormat="1" applyFont="1" applyFill="1" applyBorder="1" applyAlignment="1" applyProtection="1">
      <alignment horizontal="center"/>
      <protection hidden="1"/>
    </xf>
    <xf numFmtId="10" fontId="21" fillId="7" borderId="69" xfId="0" applyNumberFormat="1" applyFont="1" applyFill="1" applyBorder="1" applyAlignment="1" applyProtection="1">
      <alignment horizontal="center"/>
      <protection hidden="1"/>
    </xf>
    <xf numFmtId="0" fontId="20" fillId="28" borderId="15" xfId="0" applyFont="1" applyFill="1" applyBorder="1" applyAlignment="1" applyProtection="1">
      <alignment horizontal="center" vertical="center"/>
      <protection hidden="1"/>
    </xf>
    <xf numFmtId="1" fontId="20" fillId="28" borderId="31" xfId="0" applyNumberFormat="1" applyFont="1" applyFill="1" applyBorder="1" applyAlignment="1" applyProtection="1">
      <alignment horizontal="center" vertical="center"/>
      <protection hidden="1"/>
    </xf>
    <xf numFmtId="1" fontId="20" fillId="28" borderId="16" xfId="0" applyNumberFormat="1" applyFont="1" applyFill="1" applyBorder="1" applyAlignment="1" applyProtection="1">
      <alignment horizontal="center" vertical="center"/>
      <protection hidden="1"/>
    </xf>
    <xf numFmtId="1" fontId="20" fillId="19" borderId="37" xfId="0" applyNumberFormat="1" applyFont="1" applyFill="1" applyBorder="1" applyAlignment="1" applyProtection="1">
      <alignment horizontal="center" vertical="center"/>
      <protection hidden="1"/>
    </xf>
    <xf numFmtId="1" fontId="19" fillId="7" borderId="66" xfId="0" applyNumberFormat="1" applyFont="1" applyFill="1" applyBorder="1" applyAlignment="1" applyProtection="1">
      <alignment horizontal="center" vertical="center"/>
      <protection hidden="1"/>
    </xf>
    <xf numFmtId="10" fontId="20" fillId="28" borderId="47" xfId="0" applyNumberFormat="1" applyFont="1" applyFill="1" applyBorder="1" applyAlignment="1" applyProtection="1">
      <alignment horizontal="center"/>
      <protection hidden="1"/>
    </xf>
    <xf numFmtId="1" fontId="20" fillId="19" borderId="72" xfId="0" applyNumberFormat="1" applyFont="1" applyFill="1" applyBorder="1" applyAlignment="1" applyProtection="1">
      <alignment horizontal="center" vertical="center"/>
      <protection hidden="1"/>
    </xf>
    <xf numFmtId="1" fontId="19" fillId="7" borderId="67" xfId="0" applyNumberFormat="1" applyFont="1" applyFill="1" applyBorder="1" applyAlignment="1" applyProtection="1">
      <alignment horizontal="center" vertical="center"/>
      <protection hidden="1"/>
    </xf>
    <xf numFmtId="1" fontId="21" fillId="28" borderId="35" xfId="0" applyNumberFormat="1" applyFont="1" applyFill="1" applyBorder="1" applyAlignment="1" applyProtection="1">
      <alignment horizontal="center" vertical="center"/>
      <protection hidden="1"/>
    </xf>
    <xf numFmtId="1" fontId="58" fillId="28" borderId="7" xfId="0" applyNumberFormat="1" applyFont="1" applyFill="1" applyBorder="1" applyAlignment="1" applyProtection="1">
      <alignment horizontal="center" vertical="top"/>
      <protection hidden="1"/>
    </xf>
    <xf numFmtId="10" fontId="113" fillId="7" borderId="69" xfId="0" applyNumberFormat="1" applyFont="1" applyFill="1" applyBorder="1" applyAlignment="1" applyProtection="1">
      <alignment horizontal="center"/>
      <protection hidden="1"/>
    </xf>
    <xf numFmtId="9" fontId="21" fillId="5" borderId="23" xfId="0" applyNumberFormat="1" applyFont="1" applyFill="1" applyBorder="1" applyAlignment="1" applyProtection="1">
      <alignment horizontal="center" vertical="center"/>
      <protection hidden="1"/>
    </xf>
    <xf numFmtId="1" fontId="20" fillId="19" borderId="50" xfId="0" applyNumberFormat="1" applyFont="1" applyFill="1" applyBorder="1" applyAlignment="1" applyProtection="1">
      <alignment horizontal="center" vertical="center"/>
      <protection hidden="1"/>
    </xf>
    <xf numFmtId="1" fontId="19" fillId="7" borderId="64" xfId="0" applyNumberFormat="1" applyFont="1" applyFill="1" applyBorder="1" applyAlignment="1" applyProtection="1">
      <alignment horizontal="center" vertical="center"/>
      <protection hidden="1"/>
    </xf>
    <xf numFmtId="10" fontId="113" fillId="7" borderId="58" xfId="0" applyNumberFormat="1" applyFont="1" applyFill="1" applyBorder="1" applyAlignment="1" applyProtection="1">
      <alignment horizontal="center"/>
      <protection hidden="1"/>
    </xf>
    <xf numFmtId="1" fontId="20" fillId="19" borderId="38" xfId="0" applyNumberFormat="1" applyFont="1" applyFill="1" applyBorder="1" applyAlignment="1" applyProtection="1">
      <alignment horizontal="center" vertical="center"/>
      <protection hidden="1"/>
    </xf>
    <xf numFmtId="1" fontId="21" fillId="28" borderId="72" xfId="0" applyNumberFormat="1" applyFont="1" applyFill="1" applyBorder="1" applyAlignment="1" applyProtection="1">
      <alignment horizontal="center" vertical="center"/>
      <protection hidden="1"/>
    </xf>
    <xf numFmtId="10" fontId="20" fillId="7" borderId="40" xfId="0" applyNumberFormat="1" applyFont="1" applyFill="1" applyBorder="1" applyAlignment="1" applyProtection="1">
      <alignment horizontal="center"/>
      <protection hidden="1"/>
    </xf>
    <xf numFmtId="1" fontId="20" fillId="3" borderId="50" xfId="0" applyNumberFormat="1" applyFont="1" applyFill="1" applyBorder="1" applyAlignment="1" applyProtection="1">
      <alignment horizontal="center" vertical="center"/>
      <protection hidden="1"/>
    </xf>
    <xf numFmtId="10" fontId="20" fillId="7" borderId="61" xfId="0" applyNumberFormat="1" applyFont="1" applyFill="1" applyBorder="1" applyAlignment="1" applyProtection="1">
      <alignment horizontal="center"/>
      <protection hidden="1"/>
    </xf>
    <xf numFmtId="1" fontId="20" fillId="0" borderId="19" xfId="0" applyNumberFormat="1" applyFont="1" applyBorder="1" applyAlignment="1" applyProtection="1">
      <alignment horizontal="center" vertical="center"/>
      <protection hidden="1"/>
    </xf>
    <xf numFmtId="1" fontId="20" fillId="3" borderId="72" xfId="0" applyNumberFormat="1" applyFont="1" applyFill="1" applyBorder="1" applyAlignment="1" applyProtection="1">
      <alignment horizontal="center" vertical="center"/>
      <protection hidden="1"/>
    </xf>
    <xf numFmtId="10" fontId="20" fillId="7" borderId="44" xfId="0" applyNumberFormat="1" applyFont="1" applyFill="1" applyBorder="1" applyAlignment="1" applyProtection="1">
      <alignment horizontal="center"/>
      <protection hidden="1"/>
    </xf>
    <xf numFmtId="10" fontId="76" fillId="7" borderId="75" xfId="0" applyNumberFormat="1" applyFont="1" applyFill="1" applyBorder="1" applyAlignment="1" applyProtection="1">
      <alignment horizontal="center"/>
      <protection hidden="1"/>
    </xf>
    <xf numFmtId="10" fontId="21" fillId="7" borderId="45" xfId="0" applyNumberFormat="1" applyFont="1" applyFill="1" applyBorder="1" applyAlignment="1" applyProtection="1">
      <alignment horizontal="center"/>
      <protection hidden="1"/>
    </xf>
    <xf numFmtId="10" fontId="76" fillId="7" borderId="45" xfId="0" applyNumberFormat="1" applyFont="1" applyFill="1" applyBorder="1" applyAlignment="1" applyProtection="1">
      <alignment horizontal="center"/>
      <protection hidden="1"/>
    </xf>
    <xf numFmtId="1" fontId="20" fillId="0" borderId="6" xfId="0" applyNumberFormat="1" applyFont="1" applyBorder="1" applyAlignment="1" applyProtection="1">
      <alignment horizontal="center"/>
      <protection hidden="1"/>
    </xf>
    <xf numFmtId="0" fontId="20" fillId="0" borderId="8" xfId="0" applyFont="1" applyBorder="1" applyAlignment="1" applyProtection="1">
      <alignment horizontal="center"/>
      <protection hidden="1"/>
    </xf>
    <xf numFmtId="1" fontId="20" fillId="0" borderId="8" xfId="0" applyNumberFormat="1" applyFont="1" applyBorder="1" applyAlignment="1" applyProtection="1">
      <alignment horizontal="center"/>
      <protection hidden="1"/>
    </xf>
    <xf numFmtId="10" fontId="21" fillId="7" borderId="46" xfId="0" applyNumberFormat="1" applyFont="1" applyFill="1" applyBorder="1" applyAlignment="1" applyProtection="1">
      <alignment horizontal="center"/>
      <protection hidden="1"/>
    </xf>
    <xf numFmtId="10" fontId="96" fillId="4" borderId="41" xfId="0" applyNumberFormat="1" applyFont="1" applyFill="1" applyBorder="1" applyAlignment="1" applyProtection="1">
      <alignment horizontal="center"/>
      <protection hidden="1"/>
    </xf>
    <xf numFmtId="166" fontId="21" fillId="21" borderId="36" xfId="0" applyNumberFormat="1" applyFont="1" applyFill="1" applyBorder="1" applyAlignment="1" applyProtection="1">
      <alignment horizontal="center" vertical="justify"/>
      <protection hidden="1"/>
    </xf>
    <xf numFmtId="0" fontId="25" fillId="7" borderId="13" xfId="0" applyFont="1" applyFill="1" applyBorder="1" applyAlignment="1" applyProtection="1">
      <alignment horizontal="center" vertical="center"/>
      <protection hidden="1"/>
    </xf>
    <xf numFmtId="9" fontId="21" fillId="5" borderId="13" xfId="0" applyNumberFormat="1" applyFont="1" applyFill="1" applyBorder="1" applyAlignment="1" applyProtection="1">
      <alignment horizontal="center" vertical="center"/>
      <protection hidden="1"/>
    </xf>
    <xf numFmtId="10" fontId="21" fillId="7" borderId="49" xfId="0" applyNumberFormat="1" applyFont="1" applyFill="1" applyBorder="1" applyAlignment="1" applyProtection="1">
      <alignment horizontal="center"/>
      <protection hidden="1"/>
    </xf>
    <xf numFmtId="166" fontId="21" fillId="10" borderId="13" xfId="0" applyNumberFormat="1" applyFont="1" applyFill="1" applyBorder="1" applyAlignment="1" applyProtection="1">
      <alignment horizontal="center" vertical="justify"/>
      <protection hidden="1"/>
    </xf>
    <xf numFmtId="10" fontId="21" fillId="22" borderId="6" xfId="0" applyNumberFormat="1" applyFont="1" applyFill="1" applyBorder="1" applyAlignment="1" applyProtection="1">
      <alignment horizontal="center" vertical="justify"/>
      <protection hidden="1"/>
    </xf>
    <xf numFmtId="0" fontId="25" fillId="7" borderId="6" xfId="0" applyFont="1" applyFill="1" applyBorder="1" applyAlignment="1" applyProtection="1">
      <alignment horizontal="center" vertical="center"/>
      <protection hidden="1"/>
    </xf>
    <xf numFmtId="9" fontId="21" fillId="5" borderId="6" xfId="0" applyNumberFormat="1" applyFont="1" applyFill="1" applyBorder="1" applyAlignment="1" applyProtection="1">
      <alignment horizontal="center" vertical="center"/>
      <protection hidden="1"/>
    </xf>
    <xf numFmtId="166" fontId="21" fillId="10" borderId="6" xfId="0" applyNumberFormat="1" applyFont="1" applyFill="1" applyBorder="1" applyAlignment="1" applyProtection="1">
      <alignment horizontal="center" vertical="justify"/>
      <protection hidden="1"/>
    </xf>
    <xf numFmtId="10" fontId="21" fillId="25" borderId="6" xfId="0" applyNumberFormat="1" applyFont="1" applyFill="1" applyBorder="1" applyAlignment="1" applyProtection="1">
      <alignment horizontal="center" vertical="justify"/>
      <protection hidden="1"/>
    </xf>
    <xf numFmtId="166" fontId="21" fillId="10" borderId="12" xfId="0" applyNumberFormat="1" applyFont="1" applyFill="1" applyBorder="1" applyAlignment="1" applyProtection="1">
      <alignment horizontal="center" vertical="center"/>
      <protection hidden="1"/>
    </xf>
    <xf numFmtId="10" fontId="32" fillId="25" borderId="6" xfId="0" applyNumberFormat="1" applyFont="1" applyFill="1" applyBorder="1" applyAlignment="1" applyProtection="1">
      <alignment horizontal="center"/>
      <protection hidden="1"/>
    </xf>
    <xf numFmtId="10" fontId="76" fillId="7" borderId="49" xfId="0" applyNumberFormat="1" applyFont="1" applyFill="1" applyBorder="1" applyAlignment="1" applyProtection="1">
      <alignment horizontal="center"/>
      <protection hidden="1"/>
    </xf>
    <xf numFmtId="10" fontId="114" fillId="25" borderId="6" xfId="0" applyNumberFormat="1" applyFont="1" applyFill="1" applyBorder="1" applyAlignment="1" applyProtection="1">
      <alignment horizontal="center"/>
      <protection hidden="1"/>
    </xf>
    <xf numFmtId="0" fontId="20" fillId="0" borderId="15" xfId="0" applyFont="1" applyBorder="1" applyAlignment="1" applyProtection="1">
      <alignment horizontal="center"/>
      <protection hidden="1"/>
    </xf>
    <xf numFmtId="0" fontId="20" fillId="0" borderId="17" xfId="0" applyFont="1" applyBorder="1" applyAlignment="1" applyProtection="1">
      <alignment horizontal="center"/>
      <protection hidden="1"/>
    </xf>
    <xf numFmtId="1" fontId="20" fillId="0" borderId="17" xfId="0" applyNumberFormat="1" applyFont="1" applyBorder="1" applyAlignment="1" applyProtection="1">
      <alignment horizontal="center"/>
      <protection hidden="1"/>
    </xf>
    <xf numFmtId="0" fontId="30" fillId="0" borderId="6" xfId="0" applyFont="1" applyBorder="1" applyAlignment="1" applyProtection="1">
      <alignment horizontal="center"/>
      <protection hidden="1"/>
    </xf>
    <xf numFmtId="1" fontId="17" fillId="0" borderId="6" xfId="0" applyNumberFormat="1" applyFont="1" applyBorder="1" applyAlignment="1" applyProtection="1">
      <alignment horizontal="center"/>
      <protection hidden="1"/>
    </xf>
    <xf numFmtId="0" fontId="30" fillId="0" borderId="8" xfId="0" applyFont="1" applyBorder="1" applyAlignment="1" applyProtection="1">
      <alignment horizontal="center"/>
      <protection hidden="1"/>
    </xf>
    <xf numFmtId="1" fontId="17" fillId="0" borderId="8" xfId="0" applyNumberFormat="1" applyFont="1" applyBorder="1" applyAlignment="1" applyProtection="1">
      <alignment horizontal="center"/>
      <protection hidden="1"/>
    </xf>
    <xf numFmtId="10" fontId="64" fillId="7" borderId="44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 applyAlignment="1" applyProtection="1">
      <alignment horizontal="center" vertical="justify"/>
      <protection hidden="1"/>
    </xf>
    <xf numFmtId="0" fontId="21" fillId="10" borderId="10" xfId="0" applyFont="1" applyFill="1" applyBorder="1" applyAlignment="1" applyProtection="1">
      <alignment vertical="justify"/>
      <protection hidden="1"/>
    </xf>
    <xf numFmtId="0" fontId="21" fillId="10" borderId="32" xfId="0" applyFont="1" applyFill="1" applyBorder="1" applyAlignment="1" applyProtection="1">
      <alignment vertical="justify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1" fillId="0" borderId="4" xfId="0" applyFont="1" applyBorder="1" applyAlignment="1" applyProtection="1">
      <alignment horizontal="center" vertical="center"/>
      <protection hidden="1"/>
    </xf>
    <xf numFmtId="0" fontId="21" fillId="3" borderId="4" xfId="0" applyFont="1" applyFill="1" applyBorder="1" applyAlignment="1" applyProtection="1">
      <alignment horizontal="center" vertical="center"/>
      <protection hidden="1"/>
    </xf>
    <xf numFmtId="0" fontId="19" fillId="7" borderId="4" xfId="0" applyFont="1" applyFill="1" applyBorder="1" applyAlignment="1" applyProtection="1">
      <alignment horizontal="center" vertical="center"/>
      <protection hidden="1"/>
    </xf>
    <xf numFmtId="9" fontId="21" fillId="5" borderId="39" xfId="0" applyNumberFormat="1" applyFont="1" applyFill="1" applyBorder="1" applyAlignment="1" applyProtection="1">
      <alignment horizontal="center" vertical="center"/>
      <protection hidden="1"/>
    </xf>
    <xf numFmtId="0" fontId="21" fillId="10" borderId="18" xfId="0" applyFont="1" applyFill="1" applyBorder="1" applyAlignment="1" applyProtection="1">
      <alignment horizontal="center" vertical="justify"/>
      <protection hidden="1"/>
    </xf>
    <xf numFmtId="0" fontId="21" fillId="10" borderId="4" xfId="0" applyFont="1" applyFill="1" applyBorder="1" applyAlignment="1" applyProtection="1">
      <alignment vertical="justify"/>
      <protection hidden="1"/>
    </xf>
    <xf numFmtId="10" fontId="32" fillId="25" borderId="6" xfId="0" applyNumberFormat="1" applyFont="1" applyFill="1" applyBorder="1" applyAlignment="1" applyProtection="1">
      <alignment horizontal="center" vertical="justify"/>
      <protection hidden="1"/>
    </xf>
    <xf numFmtId="0" fontId="21" fillId="0" borderId="5" xfId="0" applyFont="1" applyBorder="1" applyAlignment="1" applyProtection="1">
      <alignment horizontal="center"/>
      <protection hidden="1"/>
    </xf>
    <xf numFmtId="9" fontId="21" fillId="5" borderId="37" xfId="0" applyNumberFormat="1" applyFont="1" applyFill="1" applyBorder="1" applyAlignment="1" applyProtection="1">
      <alignment horizontal="center" vertical="center"/>
      <protection hidden="1"/>
    </xf>
    <xf numFmtId="0" fontId="21" fillId="10" borderId="26" xfId="0" applyFont="1" applyFill="1" applyBorder="1" applyAlignment="1" applyProtection="1">
      <alignment horizontal="center" vertical="justify"/>
      <protection hidden="1"/>
    </xf>
    <xf numFmtId="0" fontId="21" fillId="10" borderId="6" xfId="0" applyFont="1" applyFill="1" applyBorder="1" applyAlignment="1" applyProtection="1">
      <alignment vertical="justify"/>
      <protection hidden="1"/>
    </xf>
    <xf numFmtId="10" fontId="21" fillId="7" borderId="66" xfId="0" applyNumberFormat="1" applyFont="1" applyFill="1" applyBorder="1" applyAlignment="1" applyProtection="1">
      <alignment horizontal="center"/>
      <protection hidden="1"/>
    </xf>
    <xf numFmtId="10" fontId="32" fillId="7" borderId="6" xfId="0" applyNumberFormat="1" applyFont="1" applyFill="1" applyBorder="1" applyAlignment="1" applyProtection="1">
      <alignment horizont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1" fontId="21" fillId="5" borderId="38" xfId="0" applyNumberFormat="1" applyFont="1" applyFill="1" applyBorder="1" applyAlignment="1" applyProtection="1">
      <alignment horizontal="center" vertical="center"/>
      <protection hidden="1"/>
    </xf>
    <xf numFmtId="10" fontId="24" fillId="4" borderId="44" xfId="0" applyNumberFormat="1" applyFont="1" applyFill="1" applyBorder="1" applyAlignment="1" applyProtection="1">
      <alignment horizontal="center"/>
      <protection hidden="1"/>
    </xf>
    <xf numFmtId="10" fontId="76" fillId="7" borderId="46" xfId="0" applyNumberFormat="1" applyFont="1" applyFill="1" applyBorder="1" applyAlignment="1" applyProtection="1">
      <alignment horizontal="center"/>
      <protection hidden="1"/>
    </xf>
    <xf numFmtId="10" fontId="32" fillId="25" borderId="14" xfId="0" applyNumberFormat="1" applyFont="1" applyFill="1" applyBorder="1" applyAlignment="1" applyProtection="1">
      <alignment horizontal="center"/>
      <protection hidden="1"/>
    </xf>
    <xf numFmtId="0" fontId="21" fillId="7" borderId="53" xfId="0" applyFont="1" applyFill="1" applyBorder="1" applyAlignment="1" applyProtection="1">
      <alignment vertical="justify"/>
      <protection hidden="1"/>
    </xf>
    <xf numFmtId="0" fontId="17" fillId="7" borderId="4" xfId="0" applyFont="1" applyFill="1" applyBorder="1" applyAlignment="1" applyProtection="1">
      <alignment horizontal="center" vertical="center"/>
      <protection hidden="1"/>
    </xf>
    <xf numFmtId="1" fontId="21" fillId="10" borderId="6" xfId="0" applyNumberFormat="1" applyFont="1" applyFill="1" applyBorder="1" applyAlignment="1" applyProtection="1">
      <alignment horizontal="center" vertical="center"/>
      <protection hidden="1"/>
    </xf>
    <xf numFmtId="166" fontId="21" fillId="21" borderId="3" xfId="0" applyNumberFormat="1" applyFont="1" applyFill="1" applyBorder="1" applyAlignment="1" applyProtection="1">
      <alignment horizontal="center" vertical="justify"/>
      <protection hidden="1"/>
    </xf>
    <xf numFmtId="166" fontId="21" fillId="22" borderId="4" xfId="0" applyNumberFormat="1" applyFont="1" applyFill="1" applyBorder="1" applyAlignment="1" applyProtection="1">
      <alignment horizontal="center"/>
      <protection hidden="1"/>
    </xf>
    <xf numFmtId="166" fontId="21" fillId="25" borderId="4" xfId="0" applyNumberFormat="1" applyFont="1" applyFill="1" applyBorder="1" applyAlignment="1" applyProtection="1">
      <alignment horizontal="center"/>
      <protection hidden="1"/>
    </xf>
    <xf numFmtId="10" fontId="21" fillId="21" borderId="4" xfId="0" applyNumberFormat="1" applyFont="1" applyFill="1" applyBorder="1" applyAlignment="1" applyProtection="1">
      <alignment horizontal="center"/>
      <protection hidden="1"/>
    </xf>
    <xf numFmtId="10" fontId="32" fillId="25" borderId="4" xfId="0" applyNumberFormat="1" applyFont="1" applyFill="1" applyBorder="1" applyAlignment="1" applyProtection="1">
      <alignment horizontal="center"/>
      <protection hidden="1"/>
    </xf>
    <xf numFmtId="10" fontId="21" fillId="22" borderId="4" xfId="0" applyNumberFormat="1" applyFont="1" applyFill="1" applyBorder="1" applyAlignment="1" applyProtection="1">
      <alignment horizontal="center"/>
      <protection hidden="1"/>
    </xf>
    <xf numFmtId="166" fontId="21" fillId="21" borderId="4" xfId="0" applyNumberFormat="1" applyFont="1" applyFill="1" applyBorder="1" applyAlignment="1" applyProtection="1">
      <alignment horizontal="center"/>
      <protection hidden="1"/>
    </xf>
    <xf numFmtId="10" fontId="21" fillId="21" borderId="47" xfId="0" applyNumberFormat="1" applyFont="1" applyFill="1" applyBorder="1" applyAlignment="1" applyProtection="1">
      <alignment horizontal="center"/>
      <protection hidden="1"/>
    </xf>
    <xf numFmtId="0" fontId="17" fillId="7" borderId="6" xfId="0" applyFont="1" applyFill="1" applyBorder="1" applyAlignment="1" applyProtection="1">
      <alignment horizontal="center" vertical="center"/>
      <protection hidden="1"/>
    </xf>
    <xf numFmtId="166" fontId="21" fillId="21" borderId="5" xfId="0" applyNumberFormat="1" applyFont="1" applyFill="1" applyBorder="1" applyAlignment="1" applyProtection="1">
      <alignment horizontal="center" vertical="justify"/>
      <protection hidden="1"/>
    </xf>
    <xf numFmtId="166" fontId="21" fillId="21" borderId="5" xfId="0" applyNumberFormat="1" applyFont="1" applyFill="1" applyBorder="1" applyAlignment="1" applyProtection="1">
      <alignment horizontal="center"/>
      <protection hidden="1"/>
    </xf>
    <xf numFmtId="166" fontId="21" fillId="21" borderId="7" xfId="0" applyNumberFormat="1" applyFont="1" applyFill="1" applyBorder="1" applyAlignment="1" applyProtection="1">
      <alignment horizontal="center"/>
      <protection hidden="1"/>
    </xf>
    <xf numFmtId="10" fontId="32" fillId="25" borderId="8" xfId="0" applyNumberFormat="1" applyFont="1" applyFill="1" applyBorder="1" applyAlignment="1" applyProtection="1">
      <alignment horizontal="center"/>
      <protection hidden="1"/>
    </xf>
    <xf numFmtId="10" fontId="115" fillId="4" borderId="44" xfId="0" applyNumberFormat="1" applyFont="1" applyFill="1" applyBorder="1" applyAlignment="1" applyProtection="1">
      <alignment horizontal="center"/>
      <protection hidden="1"/>
    </xf>
    <xf numFmtId="1" fontId="58" fillId="28" borderId="3" xfId="0" applyNumberFormat="1" applyFont="1" applyFill="1" applyBorder="1" applyAlignment="1" applyProtection="1">
      <alignment horizontal="center" vertical="center"/>
      <protection hidden="1"/>
    </xf>
    <xf numFmtId="1" fontId="20" fillId="10" borderId="6" xfId="0" applyNumberFormat="1" applyFont="1" applyFill="1" applyBorder="1" applyAlignment="1" applyProtection="1">
      <alignment horizontal="center" vertical="center"/>
      <protection hidden="1"/>
    </xf>
    <xf numFmtId="1" fontId="20" fillId="10" borderId="8" xfId="0" applyNumberFormat="1" applyFont="1" applyFill="1" applyBorder="1" applyAlignment="1" applyProtection="1">
      <alignment horizontal="center" vertical="center"/>
      <protection hidden="1"/>
    </xf>
    <xf numFmtId="10" fontId="20" fillId="7" borderId="41" xfId="0" applyNumberFormat="1" applyFont="1" applyFill="1" applyBorder="1" applyAlignment="1" applyProtection="1">
      <alignment horizontal="center"/>
      <protection hidden="1"/>
    </xf>
    <xf numFmtId="10" fontId="24" fillId="7" borderId="41" xfId="0" applyNumberFormat="1" applyFont="1" applyFill="1" applyBorder="1" applyAlignment="1" applyProtection="1">
      <alignment horizontal="center"/>
      <protection hidden="1"/>
    </xf>
    <xf numFmtId="10" fontId="76" fillId="7" borderId="41" xfId="0" applyNumberFormat="1" applyFont="1" applyFill="1" applyBorder="1" applyAlignment="1" applyProtection="1">
      <alignment horizontal="center"/>
      <protection hidden="1"/>
    </xf>
    <xf numFmtId="0" fontId="20" fillId="33" borderId="0" xfId="0" applyFont="1" applyFill="1" applyProtection="1">
      <protection hidden="1"/>
    </xf>
    <xf numFmtId="0" fontId="21" fillId="33" borderId="0" xfId="0" applyFont="1" applyFill="1" applyProtection="1">
      <protection hidden="1"/>
    </xf>
    <xf numFmtId="0" fontId="19" fillId="33" borderId="0" xfId="0" applyFont="1" applyFill="1" applyProtection="1">
      <protection hidden="1"/>
    </xf>
    <xf numFmtId="0" fontId="19" fillId="33" borderId="0" xfId="0" applyFont="1" applyFill="1" applyAlignment="1" applyProtection="1">
      <alignment horizontal="center" vertical="center"/>
      <protection hidden="1"/>
    </xf>
    <xf numFmtId="0" fontId="21" fillId="33" borderId="0" xfId="0" applyFont="1" applyFill="1" applyAlignment="1" applyProtection="1">
      <alignment horizontal="center" vertical="center"/>
      <protection hidden="1"/>
    </xf>
    <xf numFmtId="1" fontId="54" fillId="28" borderId="13" xfId="0" applyNumberFormat="1" applyFont="1" applyFill="1" applyBorder="1" applyAlignment="1" applyProtection="1">
      <alignment horizontal="center" vertical="center"/>
      <protection hidden="1"/>
    </xf>
    <xf numFmtId="1" fontId="21" fillId="28" borderId="13" xfId="0" applyNumberFormat="1" applyFont="1" applyFill="1" applyBorder="1" applyAlignment="1" applyProtection="1">
      <alignment horizontal="center" vertical="center"/>
      <protection hidden="1"/>
    </xf>
    <xf numFmtId="1" fontId="58" fillId="28" borderId="26" xfId="0" applyNumberFormat="1" applyFont="1" applyFill="1" applyBorder="1" applyAlignment="1" applyProtection="1">
      <alignment horizontal="center" vertical="top"/>
      <protection hidden="1"/>
    </xf>
    <xf numFmtId="1" fontId="54" fillId="28" borderId="6" xfId="0" applyNumberFormat="1" applyFont="1" applyFill="1" applyBorder="1" applyAlignment="1" applyProtection="1">
      <alignment horizontal="center" vertical="center"/>
      <protection hidden="1"/>
    </xf>
    <xf numFmtId="1" fontId="58" fillId="28" borderId="30" xfId="0" applyNumberFormat="1" applyFont="1" applyFill="1" applyBorder="1" applyAlignment="1" applyProtection="1">
      <alignment horizontal="center" vertical="top"/>
      <protection hidden="1"/>
    </xf>
    <xf numFmtId="10" fontId="76" fillId="28" borderId="35" xfId="0" applyNumberFormat="1" applyFont="1" applyFill="1" applyBorder="1" applyAlignment="1" applyProtection="1">
      <alignment horizontal="center"/>
      <protection hidden="1"/>
    </xf>
    <xf numFmtId="10" fontId="77" fillId="4" borderId="41" xfId="0" applyNumberFormat="1" applyFont="1" applyFill="1" applyBorder="1" applyAlignment="1" applyProtection="1">
      <alignment horizontal="center"/>
      <protection hidden="1"/>
    </xf>
    <xf numFmtId="10" fontId="77" fillId="4" borderId="0" xfId="0" applyNumberFormat="1" applyFont="1" applyFill="1" applyBorder="1" applyAlignment="1" applyProtection="1">
      <alignment horizontal="center"/>
      <protection hidden="1"/>
    </xf>
    <xf numFmtId="0" fontId="19" fillId="7" borderId="41" xfId="0" applyFont="1" applyFill="1" applyBorder="1" applyAlignment="1" applyProtection="1">
      <alignment horizontal="center" vertical="center"/>
      <protection hidden="1"/>
    </xf>
    <xf numFmtId="1" fontId="26" fillId="7" borderId="9" xfId="0" applyNumberFormat="1" applyFont="1" applyFill="1" applyBorder="1" applyAlignment="1" applyProtection="1">
      <alignment horizontal="center" vertical="center"/>
      <protection hidden="1"/>
    </xf>
    <xf numFmtId="1" fontId="19" fillId="7" borderId="59" xfId="0" applyNumberFormat="1" applyFont="1" applyFill="1" applyBorder="1" applyAlignment="1" applyProtection="1">
      <alignment horizontal="center" vertical="center"/>
      <protection hidden="1"/>
    </xf>
    <xf numFmtId="10" fontId="76" fillId="7" borderId="78" xfId="0" applyNumberFormat="1" applyFont="1" applyFill="1" applyBorder="1" applyAlignment="1" applyProtection="1">
      <alignment horizontal="center"/>
      <protection hidden="1"/>
    </xf>
    <xf numFmtId="2" fontId="16" fillId="4" borderId="6" xfId="0" applyNumberFormat="1" applyFont="1" applyFill="1" applyBorder="1" applyAlignment="1" applyProtection="1">
      <alignment horizontal="center"/>
      <protection hidden="1"/>
    </xf>
    <xf numFmtId="2" fontId="16" fillId="4" borderId="6" xfId="0" applyNumberFormat="1" applyFont="1" applyFill="1" applyBorder="1" applyProtection="1">
      <protection hidden="1"/>
    </xf>
    <xf numFmtId="2" fontId="29" fillId="4" borderId="6" xfId="0" applyNumberFormat="1" applyFont="1" applyFill="1" applyBorder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1" fontId="33" fillId="10" borderId="5" xfId="0" applyNumberFormat="1" applyFont="1" applyFill="1" applyBorder="1" applyAlignment="1" applyProtection="1">
      <alignment horizontal="center" vertical="center"/>
      <protection hidden="1"/>
    </xf>
    <xf numFmtId="10" fontId="28" fillId="7" borderId="41" xfId="0" applyNumberFormat="1" applyFont="1" applyFill="1" applyBorder="1" applyProtection="1">
      <protection hidden="1"/>
    </xf>
    <xf numFmtId="10" fontId="28" fillId="30" borderId="20" xfId="0" applyNumberFormat="1" applyFont="1" applyFill="1" applyBorder="1" applyProtection="1">
      <protection hidden="1"/>
    </xf>
    <xf numFmtId="10" fontId="28" fillId="26" borderId="20" xfId="0" applyNumberFormat="1" applyFont="1" applyFill="1" applyBorder="1" applyProtection="1">
      <protection hidden="1"/>
    </xf>
    <xf numFmtId="2" fontId="21" fillId="0" borderId="0" xfId="0" applyNumberFormat="1" applyFont="1" applyAlignment="1" applyProtection="1">
      <protection hidden="1"/>
    </xf>
    <xf numFmtId="0" fontId="118" fillId="0" borderId="0" xfId="0" applyFont="1" applyProtection="1">
      <protection hidden="1"/>
    </xf>
    <xf numFmtId="2" fontId="32" fillId="10" borderId="13" xfId="0" applyNumberFormat="1" applyFont="1" applyFill="1" applyBorder="1" applyAlignment="1" applyProtection="1">
      <alignment horizontal="right" vertical="top" wrapText="1"/>
      <protection hidden="1"/>
    </xf>
    <xf numFmtId="166" fontId="21" fillId="21" borderId="13" xfId="0" applyNumberFormat="1" applyFont="1" applyFill="1" applyBorder="1" applyAlignment="1" applyProtection="1">
      <alignment horizontal="center" vertical="justify"/>
      <protection hidden="1"/>
    </xf>
    <xf numFmtId="166" fontId="21" fillId="22" borderId="13" xfId="0" applyNumberFormat="1" applyFont="1" applyFill="1" applyBorder="1" applyAlignment="1" applyProtection="1">
      <alignment horizontal="center" vertical="justify"/>
      <protection hidden="1"/>
    </xf>
    <xf numFmtId="166" fontId="21" fillId="25" borderId="13" xfId="0" applyNumberFormat="1" applyFont="1" applyFill="1" applyBorder="1" applyAlignment="1" applyProtection="1">
      <alignment horizontal="center" vertical="justify"/>
      <protection hidden="1"/>
    </xf>
    <xf numFmtId="10" fontId="21" fillId="21" borderId="13" xfId="0" applyNumberFormat="1" applyFont="1" applyFill="1" applyBorder="1" applyAlignment="1" applyProtection="1">
      <alignment horizontal="center" vertical="justify"/>
      <protection hidden="1"/>
    </xf>
    <xf numFmtId="10" fontId="76" fillId="25" borderId="13" xfId="0" applyNumberFormat="1" applyFont="1" applyFill="1" applyBorder="1" applyAlignment="1" applyProtection="1">
      <alignment horizontal="center" vertical="justify"/>
      <protection hidden="1"/>
    </xf>
    <xf numFmtId="10" fontId="21" fillId="22" borderId="13" xfId="0" applyNumberFormat="1" applyFont="1" applyFill="1" applyBorder="1" applyAlignment="1" applyProtection="1">
      <alignment horizontal="center" vertical="justify"/>
      <protection hidden="1"/>
    </xf>
    <xf numFmtId="3" fontId="16" fillId="32" borderId="6" xfId="0" applyNumberFormat="1" applyFont="1" applyFill="1" applyBorder="1" applyAlignment="1" applyProtection="1">
      <alignment horizontal="center"/>
      <protection hidden="1"/>
    </xf>
    <xf numFmtId="4" fontId="16" fillId="32" borderId="6" xfId="0" applyNumberFormat="1" applyFont="1" applyFill="1" applyBorder="1" applyAlignment="1" applyProtection="1">
      <alignment horizontal="center"/>
      <protection hidden="1"/>
    </xf>
    <xf numFmtId="2" fontId="32" fillId="10" borderId="6" xfId="0" applyNumberFormat="1" applyFont="1" applyFill="1" applyBorder="1" applyAlignment="1" applyProtection="1">
      <alignment horizontal="right" vertical="top" wrapText="1"/>
      <protection hidden="1"/>
    </xf>
    <xf numFmtId="2" fontId="32" fillId="28" borderId="6" xfId="0" applyNumberFormat="1" applyFont="1" applyFill="1" applyBorder="1" applyAlignment="1" applyProtection="1">
      <alignment horizontal="right" vertical="top" wrapText="1"/>
      <protection hidden="1"/>
    </xf>
    <xf numFmtId="10" fontId="113" fillId="7" borderId="65" xfId="0" applyNumberFormat="1" applyFont="1" applyFill="1" applyBorder="1" applyAlignment="1" applyProtection="1">
      <alignment horizontal="center"/>
      <protection hidden="1"/>
    </xf>
    <xf numFmtId="166" fontId="33" fillId="4" borderId="0" xfId="0" applyNumberFormat="1" applyFont="1" applyFill="1" applyBorder="1" applyAlignment="1" applyProtection="1">
      <alignment horizontal="center" vertical="top"/>
      <protection hidden="1"/>
    </xf>
    <xf numFmtId="2" fontId="32" fillId="4" borderId="0" xfId="0" applyNumberFormat="1" applyFont="1" applyFill="1" applyBorder="1" applyAlignment="1" applyProtection="1">
      <alignment horizontal="right" vertical="top" wrapText="1"/>
      <protection hidden="1"/>
    </xf>
    <xf numFmtId="10" fontId="64" fillId="4" borderId="41" xfId="0" applyNumberFormat="1" applyFont="1" applyFill="1" applyBorder="1" applyProtection="1">
      <protection hidden="1"/>
    </xf>
    <xf numFmtId="166" fontId="64" fillId="4" borderId="0" xfId="0" applyNumberFormat="1" applyFont="1" applyFill="1" applyBorder="1" applyProtection="1">
      <protection hidden="1"/>
    </xf>
    <xf numFmtId="10" fontId="64" fillId="4" borderId="0" xfId="0" applyNumberFormat="1" applyFont="1" applyFill="1" applyBorder="1" applyProtection="1">
      <protection hidden="1"/>
    </xf>
    <xf numFmtId="1" fontId="58" fillId="10" borderId="29" xfId="0" applyNumberFormat="1" applyFont="1" applyFill="1" applyBorder="1" applyAlignment="1" applyProtection="1">
      <alignment horizontal="center" vertical="top"/>
      <protection hidden="1"/>
    </xf>
    <xf numFmtId="10" fontId="32" fillId="25" borderId="13" xfId="0" applyNumberFormat="1" applyFont="1" applyFill="1" applyBorder="1" applyAlignment="1" applyProtection="1">
      <alignment horizontal="center" vertical="justify"/>
      <protection hidden="1"/>
    </xf>
    <xf numFmtId="10" fontId="21" fillId="25" borderId="13" xfId="0" applyNumberFormat="1" applyFont="1" applyFill="1" applyBorder="1" applyAlignment="1" applyProtection="1">
      <alignment horizontal="center" vertical="justify"/>
      <protection hidden="1"/>
    </xf>
    <xf numFmtId="10" fontId="21" fillId="28" borderId="6" xfId="0" applyNumberFormat="1" applyFont="1" applyFill="1" applyBorder="1" applyAlignment="1" applyProtection="1">
      <alignment horizontal="center"/>
      <protection hidden="1"/>
    </xf>
    <xf numFmtId="1" fontId="58" fillId="28" borderId="29" xfId="0" applyNumberFormat="1" applyFont="1" applyFill="1" applyBorder="1" applyAlignment="1" applyProtection="1">
      <alignment horizontal="center" vertical="center"/>
      <protection hidden="1"/>
    </xf>
    <xf numFmtId="166" fontId="33" fillId="28" borderId="13" xfId="0" applyNumberFormat="1" applyFont="1" applyFill="1" applyBorder="1" applyAlignment="1" applyProtection="1">
      <alignment horizontal="center" vertical="top"/>
      <protection hidden="1"/>
    </xf>
    <xf numFmtId="2" fontId="32" fillId="28" borderId="13" xfId="0" applyNumberFormat="1" applyFont="1" applyFill="1" applyBorder="1" applyAlignment="1" applyProtection="1">
      <alignment horizontal="right" vertical="top" wrapText="1"/>
      <protection hidden="1"/>
    </xf>
    <xf numFmtId="10" fontId="76" fillId="28" borderId="33" xfId="0" applyNumberFormat="1" applyFont="1" applyFill="1" applyBorder="1" applyAlignment="1" applyProtection="1">
      <alignment horizontal="center"/>
      <protection hidden="1"/>
    </xf>
    <xf numFmtId="166" fontId="21" fillId="28" borderId="13" xfId="0" applyNumberFormat="1" applyFont="1" applyFill="1" applyBorder="1" applyAlignment="1" applyProtection="1">
      <alignment horizontal="center" vertical="center"/>
      <protection hidden="1"/>
    </xf>
    <xf numFmtId="10" fontId="21" fillId="28" borderId="13" xfId="0" applyNumberFormat="1" applyFont="1" applyFill="1" applyBorder="1" applyAlignment="1" applyProtection="1">
      <alignment horizontal="center"/>
      <protection hidden="1"/>
    </xf>
    <xf numFmtId="10" fontId="76" fillId="7" borderId="13" xfId="0" applyNumberFormat="1" applyFont="1" applyFill="1" applyBorder="1" applyAlignment="1" applyProtection="1">
      <alignment horizontal="center"/>
      <protection hidden="1"/>
    </xf>
    <xf numFmtId="1" fontId="58" fillId="28" borderId="30" xfId="0" applyNumberFormat="1" applyFont="1" applyFill="1" applyBorder="1" applyAlignment="1" applyProtection="1">
      <alignment horizontal="center" vertical="center"/>
      <protection hidden="1"/>
    </xf>
    <xf numFmtId="166" fontId="33" fillId="28" borderId="8" xfId="0" applyNumberFormat="1" applyFont="1" applyFill="1" applyBorder="1" applyAlignment="1" applyProtection="1">
      <alignment horizontal="center" vertical="top"/>
      <protection hidden="1"/>
    </xf>
    <xf numFmtId="0" fontId="29" fillId="0" borderId="0" xfId="0" applyFont="1" applyBorder="1" applyAlignment="1" applyProtection="1">
      <alignment horizontal="center"/>
      <protection hidden="1"/>
    </xf>
    <xf numFmtId="0" fontId="20" fillId="28" borderId="3" xfId="0" applyFont="1" applyFill="1" applyBorder="1" applyAlignment="1" applyProtection="1">
      <alignment horizontal="center"/>
      <protection hidden="1"/>
    </xf>
    <xf numFmtId="166" fontId="33" fillId="28" borderId="4" xfId="0" applyNumberFormat="1" applyFont="1" applyFill="1" applyBorder="1" applyAlignment="1" applyProtection="1">
      <alignment horizontal="center" vertical="top"/>
      <protection hidden="1"/>
    </xf>
    <xf numFmtId="2" fontId="32" fillId="28" borderId="4" xfId="0" applyNumberFormat="1" applyFont="1" applyFill="1" applyBorder="1" applyAlignment="1" applyProtection="1">
      <alignment horizontal="right" vertical="top" wrapText="1"/>
      <protection hidden="1"/>
    </xf>
    <xf numFmtId="10" fontId="20" fillId="7" borderId="39" xfId="0" applyNumberFormat="1" applyFont="1" applyFill="1" applyBorder="1" applyAlignment="1" applyProtection="1">
      <alignment horizontal="center"/>
      <protection hidden="1"/>
    </xf>
    <xf numFmtId="166" fontId="21" fillId="28" borderId="4" xfId="0" applyNumberFormat="1" applyFont="1" applyFill="1" applyBorder="1" applyAlignment="1" applyProtection="1">
      <alignment horizontal="center" vertical="center"/>
      <protection hidden="1"/>
    </xf>
    <xf numFmtId="1" fontId="58" fillId="0" borderId="56" xfId="0" applyNumberFormat="1" applyFont="1" applyFill="1" applyBorder="1" applyAlignment="1" applyProtection="1">
      <alignment horizontal="center" vertical="center"/>
      <protection hidden="1"/>
    </xf>
    <xf numFmtId="166" fontId="33" fillId="0" borderId="0" xfId="0" applyNumberFormat="1" applyFont="1" applyFill="1" applyBorder="1" applyAlignment="1" applyProtection="1">
      <alignment horizontal="center" vertical="top"/>
      <protection hidden="1"/>
    </xf>
    <xf numFmtId="10" fontId="20" fillId="0" borderId="57" xfId="0" applyNumberFormat="1" applyFont="1" applyFill="1" applyBorder="1" applyAlignment="1" applyProtection="1">
      <alignment horizontal="center"/>
      <protection hidden="1"/>
    </xf>
    <xf numFmtId="0" fontId="20" fillId="28" borderId="7" xfId="0" applyFont="1" applyFill="1" applyBorder="1" applyAlignment="1" applyProtection="1">
      <alignment horizontal="center"/>
      <protection hidden="1"/>
    </xf>
    <xf numFmtId="2" fontId="32" fillId="28" borderId="8" xfId="0" applyNumberFormat="1" applyFont="1" applyFill="1" applyBorder="1" applyAlignment="1" applyProtection="1">
      <alignment horizontal="right" vertical="top" wrapText="1"/>
      <protection hidden="1"/>
    </xf>
    <xf numFmtId="166" fontId="20" fillId="28" borderId="8" xfId="0" applyNumberFormat="1" applyFont="1" applyFill="1" applyBorder="1" applyAlignment="1" applyProtection="1">
      <alignment horizontal="center" vertical="center"/>
      <protection hidden="1"/>
    </xf>
    <xf numFmtId="1" fontId="58" fillId="0" borderId="0" xfId="0" applyNumberFormat="1" applyFont="1" applyFill="1" applyBorder="1" applyAlignment="1" applyProtection="1">
      <alignment horizontal="center" vertical="center"/>
      <protection hidden="1"/>
    </xf>
    <xf numFmtId="2" fontId="32" fillId="0" borderId="0" xfId="0" applyNumberFormat="1" applyFont="1" applyFill="1" applyBorder="1" applyAlignment="1" applyProtection="1">
      <alignment horizontal="right" vertical="top" wrapText="1"/>
      <protection hidden="1"/>
    </xf>
    <xf numFmtId="0" fontId="21" fillId="7" borderId="42" xfId="0" applyFont="1" applyFill="1" applyBorder="1" applyAlignment="1" applyProtection="1">
      <alignment vertical="justify"/>
      <protection hidden="1"/>
    </xf>
    <xf numFmtId="0" fontId="20" fillId="0" borderId="9" xfId="0" applyFont="1" applyBorder="1" applyAlignment="1" applyProtection="1">
      <alignment horizontal="center"/>
      <protection hidden="1"/>
    </xf>
    <xf numFmtId="166" fontId="33" fillId="10" borderId="8" xfId="0" applyNumberFormat="1" applyFont="1" applyFill="1" applyBorder="1" applyAlignment="1" applyProtection="1">
      <alignment horizontal="center" vertical="top"/>
      <protection hidden="1"/>
    </xf>
    <xf numFmtId="2" fontId="32" fillId="10" borderId="8" xfId="0" applyNumberFormat="1" applyFont="1" applyFill="1" applyBorder="1" applyAlignment="1" applyProtection="1">
      <alignment horizontal="right" vertical="top" wrapText="1"/>
      <protection hidden="1"/>
    </xf>
    <xf numFmtId="10" fontId="76" fillId="10" borderId="38" xfId="0" applyNumberFormat="1" applyFont="1" applyFill="1" applyBorder="1" applyAlignment="1" applyProtection="1">
      <alignment horizontal="center"/>
      <protection hidden="1"/>
    </xf>
    <xf numFmtId="10" fontId="16" fillId="5" borderId="6" xfId="0" applyNumberFormat="1" applyFont="1" applyFill="1" applyBorder="1" applyAlignment="1" applyProtection="1">
      <alignment horizontal="right"/>
      <protection hidden="1"/>
    </xf>
    <xf numFmtId="10" fontId="16" fillId="0" borderId="6" xfId="0" applyNumberFormat="1" applyFont="1" applyBorder="1" applyAlignment="1" applyProtection="1">
      <alignment horizontal="right"/>
      <protection hidden="1"/>
    </xf>
    <xf numFmtId="1" fontId="19" fillId="0" borderId="0" xfId="0" applyNumberFormat="1" applyFont="1" applyBorder="1" applyAlignment="1" applyProtection="1">
      <alignment horizontal="center" vertical="center"/>
      <protection hidden="1"/>
    </xf>
    <xf numFmtId="10" fontId="16" fillId="4" borderId="41" xfId="0" applyNumberFormat="1" applyFont="1" applyFill="1" applyBorder="1" applyProtection="1">
      <protection hidden="1"/>
    </xf>
    <xf numFmtId="166" fontId="16" fillId="4" borderId="0" xfId="0" applyNumberFormat="1" applyFont="1" applyFill="1" applyBorder="1" applyProtection="1">
      <protection hidden="1"/>
    </xf>
    <xf numFmtId="0" fontId="21" fillId="3" borderId="9" xfId="0" applyFont="1" applyFill="1" applyBorder="1" applyAlignment="1" applyProtection="1">
      <alignment horizontal="center" vertical="center"/>
      <protection hidden="1"/>
    </xf>
    <xf numFmtId="0" fontId="20" fillId="0" borderId="3" xfId="0" applyFont="1" applyBorder="1" applyProtection="1">
      <protection hidden="1"/>
    </xf>
    <xf numFmtId="10" fontId="76" fillId="7" borderId="39" xfId="0" applyNumberFormat="1" applyFont="1" applyFill="1" applyBorder="1" applyAlignment="1" applyProtection="1">
      <alignment horizontal="center"/>
      <protection hidden="1"/>
    </xf>
    <xf numFmtId="166" fontId="21" fillId="10" borderId="4" xfId="0" applyNumberFormat="1" applyFont="1" applyFill="1" applyBorder="1" applyAlignment="1" applyProtection="1">
      <alignment horizontal="center" vertical="center"/>
      <protection hidden="1"/>
    </xf>
    <xf numFmtId="0" fontId="20" fillId="28" borderId="5" xfId="0" applyFont="1" applyFill="1" applyBorder="1" applyProtection="1">
      <protection hidden="1"/>
    </xf>
    <xf numFmtId="10" fontId="113" fillId="7" borderId="37" xfId="0" applyNumberFormat="1" applyFont="1" applyFill="1" applyBorder="1" applyAlignment="1" applyProtection="1">
      <alignment horizontal="center"/>
      <protection hidden="1"/>
    </xf>
    <xf numFmtId="0" fontId="58" fillId="25" borderId="6" xfId="0" applyFont="1" applyFill="1" applyBorder="1" applyAlignment="1" applyProtection="1">
      <alignment horizontal="center" vertical="justify"/>
      <protection hidden="1"/>
    </xf>
    <xf numFmtId="10" fontId="98" fillId="25" borderId="6" xfId="0" applyNumberFormat="1" applyFont="1" applyFill="1" applyBorder="1" applyAlignment="1" applyProtection="1">
      <alignment horizontal="center" vertical="center"/>
      <protection hidden="1"/>
    </xf>
    <xf numFmtId="2" fontId="58" fillId="25" borderId="6" xfId="0" applyNumberFormat="1" applyFont="1" applyFill="1" applyBorder="1" applyAlignment="1" applyProtection="1">
      <alignment horizontal="center" vertical="center"/>
      <protection hidden="1"/>
    </xf>
    <xf numFmtId="10" fontId="15" fillId="7" borderId="41" xfId="0" applyNumberFormat="1" applyFont="1" applyFill="1" applyBorder="1" applyAlignment="1" applyProtection="1">
      <alignment horizontal="center"/>
      <protection hidden="1"/>
    </xf>
    <xf numFmtId="0" fontId="29" fillId="0" borderId="41" xfId="0" applyFont="1" applyBorder="1" applyProtection="1">
      <protection hidden="1"/>
    </xf>
    <xf numFmtId="0" fontId="97" fillId="0" borderId="62" xfId="0" applyFont="1" applyBorder="1" applyAlignment="1" applyProtection="1">
      <alignment horizontal="center"/>
      <protection hidden="1"/>
    </xf>
    <xf numFmtId="1" fontId="97" fillId="4" borderId="0" xfId="0" applyNumberFormat="1" applyFont="1" applyFill="1" applyBorder="1" applyAlignment="1" applyProtection="1">
      <alignment vertical="center"/>
      <protection hidden="1"/>
    </xf>
    <xf numFmtId="10" fontId="86" fillId="4" borderId="0" xfId="0" applyNumberFormat="1" applyFont="1" applyFill="1" applyAlignment="1" applyProtection="1">
      <alignment horizontal="center"/>
      <protection hidden="1"/>
    </xf>
    <xf numFmtId="10" fontId="113" fillId="7" borderId="6" xfId="0" applyNumberFormat="1" applyFont="1" applyFill="1" applyBorder="1" applyAlignment="1" applyProtection="1">
      <alignment horizontal="center"/>
      <protection hidden="1"/>
    </xf>
    <xf numFmtId="10" fontId="16" fillId="18" borderId="6" xfId="0" applyNumberFormat="1" applyFont="1" applyFill="1" applyBorder="1" applyAlignment="1" applyProtection="1">
      <alignment horizontal="center"/>
      <protection hidden="1"/>
    </xf>
    <xf numFmtId="3" fontId="16" fillId="18" borderId="6" xfId="0" applyNumberFormat="1" applyFont="1" applyFill="1" applyBorder="1" applyAlignment="1" applyProtection="1">
      <alignment horizontal="center"/>
      <protection hidden="1"/>
    </xf>
    <xf numFmtId="4" fontId="16" fillId="18" borderId="6" xfId="0" applyNumberFormat="1" applyFont="1" applyFill="1" applyBorder="1" applyAlignment="1" applyProtection="1">
      <alignment horizontal="center"/>
      <protection hidden="1"/>
    </xf>
    <xf numFmtId="10" fontId="16" fillId="18" borderId="6" xfId="0" applyNumberFormat="1" applyFont="1" applyFill="1" applyBorder="1" applyProtection="1">
      <protection hidden="1"/>
    </xf>
    <xf numFmtId="1" fontId="21" fillId="0" borderId="0" xfId="0" applyNumberFormat="1" applyFont="1" applyAlignment="1" applyProtection="1">
      <alignment horizontal="right"/>
      <protection hidden="1"/>
    </xf>
    <xf numFmtId="0" fontId="20" fillId="28" borderId="6" xfId="0" applyFont="1" applyFill="1" applyBorder="1" applyProtection="1">
      <protection hidden="1"/>
    </xf>
    <xf numFmtId="0" fontId="20" fillId="0" borderId="6" xfId="0" applyFont="1" applyBorder="1" applyProtection="1">
      <protection hidden="1"/>
    </xf>
    <xf numFmtId="0" fontId="58" fillId="25" borderId="13" xfId="0" applyFont="1" applyFill="1" applyBorder="1" applyAlignment="1" applyProtection="1">
      <alignment horizontal="center" vertical="justify"/>
      <protection hidden="1"/>
    </xf>
    <xf numFmtId="10" fontId="97" fillId="25" borderId="13" xfId="0" applyNumberFormat="1" applyFont="1" applyFill="1" applyBorder="1" applyAlignment="1" applyProtection="1">
      <alignment horizontal="center" vertical="center"/>
      <protection hidden="1"/>
    </xf>
    <xf numFmtId="10" fontId="98" fillId="25" borderId="13" xfId="0" applyNumberFormat="1" applyFont="1" applyFill="1" applyBorder="1" applyAlignment="1" applyProtection="1">
      <alignment horizontal="center" vertical="center"/>
      <protection hidden="1"/>
    </xf>
    <xf numFmtId="0" fontId="58" fillId="25" borderId="13" xfId="0" applyFont="1" applyFill="1" applyBorder="1" applyAlignment="1" applyProtection="1">
      <alignment horizontal="center" vertical="center"/>
      <protection hidden="1"/>
    </xf>
    <xf numFmtId="10" fontId="58" fillId="25" borderId="6" xfId="0" applyNumberFormat="1" applyFont="1" applyFill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left" vertical="justify"/>
      <protection hidden="1"/>
    </xf>
    <xf numFmtId="0" fontId="17" fillId="0" borderId="0" xfId="0" applyFont="1" applyAlignment="1" applyProtection="1">
      <alignment horizontal="left" wrapText="1"/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left"/>
      <protection hidden="1"/>
    </xf>
    <xf numFmtId="0" fontId="33" fillId="0" borderId="0" xfId="0" applyFont="1" applyAlignment="1" applyProtection="1">
      <alignment horizontal="justify" vertical="justify"/>
      <protection hidden="1"/>
    </xf>
    <xf numFmtId="0" fontId="32" fillId="0" borderId="0" xfId="0" applyFont="1" applyAlignment="1" applyProtection="1">
      <alignment horizontal="center" vertical="justify"/>
      <protection hidden="1"/>
    </xf>
    <xf numFmtId="0" fontId="20" fillId="0" borderId="0" xfId="0" applyFont="1" applyAlignment="1" applyProtection="1">
      <alignment horizontal="left" vertical="justify" wrapText="1"/>
      <protection hidden="1"/>
    </xf>
    <xf numFmtId="0" fontId="20" fillId="0" borderId="0" xfId="0" applyFont="1" applyAlignment="1" applyProtection="1">
      <alignment horizontal="left" wrapText="1"/>
      <protection hidden="1"/>
    </xf>
    <xf numFmtId="0" fontId="55" fillId="0" borderId="0" xfId="0" applyFont="1" applyBorder="1" applyAlignment="1" applyProtection="1">
      <alignment horizontal="center"/>
      <protection hidden="1"/>
    </xf>
    <xf numFmtId="0" fontId="19" fillId="0" borderId="0" xfId="0" applyFont="1" applyBorder="1" applyAlignment="1" applyProtection="1">
      <alignment horizontal="center" vertical="center"/>
      <protection hidden="1"/>
    </xf>
    <xf numFmtId="0" fontId="29" fillId="0" borderId="51" xfId="0" applyFont="1" applyBorder="1" applyAlignment="1" applyProtection="1">
      <alignment horizontal="center"/>
      <protection hidden="1"/>
    </xf>
    <xf numFmtId="0" fontId="16" fillId="0" borderId="40" xfId="0" applyFont="1" applyBorder="1" applyAlignment="1" applyProtection="1">
      <alignment horizontal="center"/>
      <protection hidden="1"/>
    </xf>
    <xf numFmtId="0" fontId="29" fillId="22" borderId="0" xfId="0" applyFont="1" applyFill="1" applyBorder="1" applyAlignment="1" applyProtection="1">
      <alignment horizontal="center"/>
      <protection hidden="1"/>
    </xf>
    <xf numFmtId="0" fontId="16" fillId="0" borderId="0" xfId="0" applyFont="1" applyBorder="1" applyAlignment="1" applyProtection="1">
      <alignment horizontal="center"/>
      <protection hidden="1"/>
    </xf>
    <xf numFmtId="10" fontId="21" fillId="19" borderId="0" xfId="0" applyNumberFormat="1" applyFont="1" applyFill="1" applyAlignment="1" applyProtection="1">
      <alignment horizontal="center"/>
      <protection hidden="1"/>
    </xf>
    <xf numFmtId="2" fontId="80" fillId="0" borderId="0" xfId="0" applyNumberFormat="1" applyFont="1" applyBorder="1" applyAlignment="1" applyProtection="1">
      <alignment horizontal="center" vertical="justify"/>
      <protection hidden="1"/>
    </xf>
    <xf numFmtId="166" fontId="81" fillId="0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20" xfId="0" applyNumberFormat="1" applyFont="1" applyFill="1" applyBorder="1" applyAlignment="1" applyProtection="1">
      <alignment horizontal="center"/>
      <protection hidden="1"/>
    </xf>
    <xf numFmtId="1" fontId="20" fillId="19" borderId="0" xfId="0" applyNumberFormat="1" applyFont="1" applyFill="1" applyBorder="1" applyAlignment="1" applyProtection="1">
      <alignment horizontal="center" vertical="center"/>
      <protection hidden="1"/>
    </xf>
    <xf numFmtId="166" fontId="21" fillId="10" borderId="0" xfId="0" applyNumberFormat="1" applyFont="1" applyFill="1" applyBorder="1" applyAlignment="1">
      <alignment horizontal="center"/>
    </xf>
    <xf numFmtId="166" fontId="21" fillId="10" borderId="0" xfId="0" applyNumberFormat="1" applyFont="1" applyFill="1" applyBorder="1" applyAlignment="1">
      <alignment horizontal="center" vertical="justify"/>
    </xf>
    <xf numFmtId="166" fontId="52" fillId="10" borderId="0" xfId="0" applyNumberFormat="1" applyFont="1" applyFill="1" applyBorder="1" applyAlignment="1">
      <alignment horizontal="center" vertical="center"/>
    </xf>
    <xf numFmtId="166" fontId="52" fillId="10" borderId="0" xfId="0" applyNumberFormat="1" applyFont="1" applyFill="1" applyBorder="1" applyAlignment="1">
      <alignment horizontal="center"/>
    </xf>
    <xf numFmtId="166" fontId="13" fillId="10" borderId="0" xfId="0" applyNumberFormat="1" applyFont="1" applyFill="1" applyBorder="1" applyAlignment="1">
      <alignment horizontal="center"/>
    </xf>
    <xf numFmtId="166" fontId="70" fillId="10" borderId="0" xfId="0" applyNumberFormat="1" applyFont="1" applyFill="1" applyBorder="1" applyAlignment="1">
      <alignment horizontal="center"/>
    </xf>
    <xf numFmtId="166" fontId="16" fillId="0" borderId="0" xfId="0" applyNumberFormat="1" applyFont="1"/>
    <xf numFmtId="166" fontId="64" fillId="22" borderId="0" xfId="0" applyNumberFormat="1" applyFont="1" applyFill="1" applyBorder="1" applyAlignment="1"/>
    <xf numFmtId="166" fontId="29" fillId="22" borderId="0" xfId="0" applyNumberFormat="1" applyFont="1" applyFill="1" applyBorder="1" applyAlignment="1">
      <alignment horizontal="center"/>
    </xf>
    <xf numFmtId="166" fontId="21" fillId="25" borderId="10" xfId="0" applyNumberFormat="1" applyFont="1" applyFill="1" applyBorder="1" applyAlignment="1">
      <alignment horizontal="center" vertical="justify"/>
    </xf>
    <xf numFmtId="166" fontId="21" fillId="25" borderId="13" xfId="0" applyNumberFormat="1" applyFont="1" applyFill="1" applyBorder="1" applyAlignment="1">
      <alignment horizontal="center"/>
    </xf>
    <xf numFmtId="166" fontId="21" fillId="25" borderId="6" xfId="0" applyNumberFormat="1" applyFont="1" applyFill="1" applyBorder="1" applyAlignment="1">
      <alignment horizontal="center"/>
    </xf>
    <xf numFmtId="166" fontId="21" fillId="25" borderId="8" xfId="0" applyNumberFormat="1" applyFont="1" applyFill="1" applyBorder="1" applyAlignment="1">
      <alignment horizontal="center"/>
    </xf>
    <xf numFmtId="166" fontId="29" fillId="0" borderId="0" xfId="0" applyNumberFormat="1" applyFont="1" applyBorder="1"/>
    <xf numFmtId="166" fontId="29" fillId="4" borderId="0" xfId="0" applyNumberFormat="1" applyFont="1" applyFill="1" applyBorder="1"/>
    <xf numFmtId="166" fontId="21" fillId="29" borderId="6" xfId="0" applyNumberFormat="1" applyFont="1" applyFill="1" applyBorder="1" applyAlignment="1">
      <alignment horizontal="center"/>
    </xf>
    <xf numFmtId="166" fontId="29" fillId="21" borderId="0" xfId="0" applyNumberFormat="1" applyFont="1" applyFill="1" applyBorder="1"/>
    <xf numFmtId="166" fontId="29" fillId="21" borderId="20" xfId="0" applyNumberFormat="1" applyFont="1" applyFill="1" applyBorder="1"/>
    <xf numFmtId="0" fontId="29" fillId="22" borderId="0" xfId="0" applyFont="1" applyFill="1" applyBorder="1" applyAlignment="1">
      <alignment horizontal="center"/>
    </xf>
    <xf numFmtId="166" fontId="29" fillId="7" borderId="0" xfId="0" applyNumberFormat="1" applyFont="1" applyFill="1" applyBorder="1" applyAlignment="1">
      <alignment horizontal="center"/>
    </xf>
    <xf numFmtId="166" fontId="29" fillId="7" borderId="0" xfId="0" applyNumberFormat="1" applyFont="1" applyFill="1"/>
    <xf numFmtId="166" fontId="29" fillId="4" borderId="0" xfId="0" applyNumberFormat="1" applyFont="1" applyFill="1" applyBorder="1" applyAlignment="1">
      <alignment horizontal="center"/>
    </xf>
    <xf numFmtId="166" fontId="29" fillId="29" borderId="0" xfId="0" applyNumberFormat="1" applyFont="1" applyFill="1"/>
    <xf numFmtId="166" fontId="24" fillId="0" borderId="0" xfId="0" applyNumberFormat="1" applyFont="1"/>
    <xf numFmtId="166" fontId="29" fillId="4" borderId="0" xfId="0" applyNumberFormat="1" applyFont="1" applyFill="1"/>
    <xf numFmtId="166" fontId="70" fillId="4" borderId="0" xfId="0" applyNumberFormat="1" applyFont="1" applyFill="1" applyBorder="1"/>
    <xf numFmtId="166" fontId="29" fillId="29" borderId="0" xfId="0" applyNumberFormat="1" applyFont="1" applyFill="1" applyBorder="1" applyAlignment="1">
      <alignment horizontal="center"/>
    </xf>
    <xf numFmtId="166" fontId="29" fillId="7" borderId="0" xfId="0" applyNumberFormat="1" applyFont="1" applyFill="1" applyBorder="1"/>
    <xf numFmtId="166" fontId="76" fillId="25" borderId="13" xfId="0" applyNumberFormat="1" applyFont="1" applyFill="1" applyBorder="1" applyAlignment="1">
      <alignment horizontal="center"/>
    </xf>
    <xf numFmtId="166" fontId="76" fillId="25" borderId="6" xfId="0" applyNumberFormat="1" applyFont="1" applyFill="1" applyBorder="1" applyAlignment="1">
      <alignment horizontal="center"/>
    </xf>
    <xf numFmtId="166" fontId="29" fillId="0" borderId="0" xfId="0" applyNumberFormat="1" applyFont="1" applyFill="1" applyBorder="1" applyAlignment="1">
      <alignment horizontal="center"/>
    </xf>
    <xf numFmtId="166" fontId="16" fillId="22" borderId="0" xfId="0" applyNumberFormat="1" applyFont="1" applyFill="1"/>
    <xf numFmtId="166" fontId="70" fillId="7" borderId="0" xfId="0" applyNumberFormat="1" applyFont="1" applyFill="1" applyBorder="1"/>
    <xf numFmtId="166" fontId="29" fillId="29" borderId="51" xfId="0" applyNumberFormat="1" applyFont="1" applyFill="1" applyBorder="1" applyAlignment="1">
      <alignment horizontal="center"/>
    </xf>
    <xf numFmtId="166" fontId="21" fillId="12" borderId="0" xfId="0" applyNumberFormat="1" applyFont="1" applyFill="1" applyBorder="1" applyAlignment="1">
      <alignment horizontal="center"/>
    </xf>
    <xf numFmtId="166" fontId="21" fillId="4" borderId="0" xfId="0" applyNumberFormat="1" applyFont="1" applyFill="1" applyBorder="1" applyAlignment="1">
      <alignment horizontal="center"/>
    </xf>
    <xf numFmtId="166" fontId="21" fillId="0" borderId="0" xfId="0" applyNumberFormat="1" applyFont="1" applyAlignment="1">
      <alignment horizontal="center"/>
    </xf>
    <xf numFmtId="166" fontId="21" fillId="25" borderId="2" xfId="0" applyNumberFormat="1" applyFont="1" applyFill="1" applyBorder="1" applyAlignment="1">
      <alignment horizontal="center" vertical="justify"/>
    </xf>
    <xf numFmtId="166" fontId="21" fillId="25" borderId="6" xfId="0" applyNumberFormat="1" applyFont="1" applyFill="1" applyBorder="1" applyAlignment="1">
      <alignment horizontal="center" vertical="justify"/>
    </xf>
    <xf numFmtId="166" fontId="16" fillId="0" borderId="0" xfId="0" applyNumberFormat="1" applyFont="1" applyBorder="1"/>
    <xf numFmtId="166" fontId="21" fillId="19" borderId="0" xfId="0" applyNumberFormat="1" applyFont="1" applyFill="1" applyAlignment="1"/>
    <xf numFmtId="166" fontId="21" fillId="25" borderId="16" xfId="0" applyNumberFormat="1" applyFont="1" applyFill="1" applyBorder="1" applyAlignment="1">
      <alignment horizontal="center"/>
    </xf>
    <xf numFmtId="166" fontId="21" fillId="25" borderId="4" xfId="0" applyNumberFormat="1" applyFont="1" applyFill="1" applyBorder="1" applyAlignment="1">
      <alignment horizontal="center"/>
    </xf>
    <xf numFmtId="166" fontId="21" fillId="25" borderId="13" xfId="0" applyNumberFormat="1" applyFont="1" applyFill="1" applyBorder="1" applyAlignment="1">
      <alignment horizontal="center" vertical="justify"/>
    </xf>
    <xf numFmtId="166" fontId="64" fillId="4" borderId="0" xfId="0" applyNumberFormat="1" applyFont="1" applyFill="1" applyBorder="1"/>
    <xf numFmtId="166" fontId="16" fillId="4" borderId="0" xfId="0" applyNumberFormat="1" applyFont="1" applyFill="1" applyBorder="1"/>
    <xf numFmtId="2" fontId="16" fillId="0" borderId="0" xfId="0" applyNumberFormat="1" applyFont="1" applyFill="1" applyBorder="1" applyAlignment="1" applyProtection="1">
      <alignment horizontal="center"/>
      <protection hidden="1"/>
    </xf>
    <xf numFmtId="0" fontId="122" fillId="0" borderId="47" xfId="0" applyNumberFormat="1" applyFont="1" applyBorder="1" applyAlignment="1">
      <alignment horizontal="center" vertical="center"/>
    </xf>
    <xf numFmtId="0" fontId="122" fillId="0" borderId="14" xfId="0" applyNumberFormat="1" applyFont="1" applyBorder="1" applyAlignment="1">
      <alignment horizontal="center" vertical="center"/>
    </xf>
    <xf numFmtId="0" fontId="0" fillId="0" borderId="6" xfId="0" applyNumberFormat="1" applyFont="1" applyBorder="1" applyAlignment="1">
      <alignment horizontal="left" vertical="top"/>
    </xf>
    <xf numFmtId="0" fontId="0" fillId="0" borderId="0" xfId="0" applyAlignment="1">
      <alignment horizontal="center"/>
    </xf>
    <xf numFmtId="0" fontId="0" fillId="0" borderId="6" xfId="0" applyNumberFormat="1" applyFont="1" applyBorder="1" applyAlignment="1">
      <alignment horizontal="center" vertical="top"/>
    </xf>
    <xf numFmtId="0" fontId="0" fillId="0" borderId="6" xfId="0" applyFont="1" applyBorder="1" applyAlignment="1">
      <alignment horizontal="center" vertical="top"/>
    </xf>
    <xf numFmtId="2" fontId="16" fillId="0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0" fontId="17" fillId="0" borderId="0" xfId="0" applyFont="1" applyFill="1" applyProtection="1">
      <protection hidden="1"/>
    </xf>
    <xf numFmtId="0" fontId="0" fillId="0" borderId="0" xfId="0"/>
    <xf numFmtId="0" fontId="162" fillId="0" borderId="89" xfId="17" applyNumberFormat="1" applyFont="1" applyFill="1" applyBorder="1" applyAlignment="1">
      <alignment horizontal="left" vertical="top" wrapText="1"/>
    </xf>
    <xf numFmtId="40" fontId="162" fillId="0" borderId="0" xfId="17" applyNumberFormat="1" applyFont="1" applyFill="1" applyBorder="1" applyAlignment="1">
      <alignment horizontal="left" vertical="top"/>
    </xf>
    <xf numFmtId="175" fontId="162" fillId="0" borderId="0" xfId="17" applyNumberFormat="1" applyFont="1" applyFill="1" applyBorder="1" applyAlignment="1">
      <alignment horizontal="left" vertical="top"/>
    </xf>
    <xf numFmtId="0" fontId="160" fillId="28" borderId="79" xfId="0" applyFont="1" applyFill="1" applyBorder="1" applyAlignment="1">
      <alignment horizontal="left" vertical="center"/>
    </xf>
    <xf numFmtId="0" fontId="125" fillId="0" borderId="0" xfId="0" applyFont="1" applyAlignment="1">
      <alignment vertical="center"/>
    </xf>
    <xf numFmtId="0" fontId="16" fillId="0" borderId="0" xfId="0" applyFont="1" applyFill="1" applyProtection="1">
      <protection hidden="1"/>
    </xf>
    <xf numFmtId="2" fontId="16" fillId="0" borderId="0" xfId="0" applyNumberFormat="1" applyFont="1" applyFill="1" applyProtection="1">
      <protection hidden="1"/>
    </xf>
    <xf numFmtId="0" fontId="16" fillId="0" borderId="0" xfId="0" applyFont="1" applyFill="1" applyBorder="1" applyProtection="1">
      <protection hidden="1"/>
    </xf>
    <xf numFmtId="0" fontId="30" fillId="0" borderId="0" xfId="0" applyFont="1" applyFill="1" applyProtection="1">
      <protection hidden="1"/>
    </xf>
    <xf numFmtId="0" fontId="123" fillId="0" borderId="0" xfId="0" applyFont="1" applyFill="1" applyProtection="1">
      <protection hidden="1"/>
    </xf>
    <xf numFmtId="0" fontId="126" fillId="4" borderId="0" xfId="0" applyFont="1" applyFill="1" applyBorder="1" applyAlignment="1" applyProtection="1">
      <protection hidden="1"/>
    </xf>
    <xf numFmtId="0" fontId="127" fillId="4" borderId="0" xfId="0" applyFont="1" applyFill="1" applyProtection="1">
      <protection hidden="1"/>
    </xf>
    <xf numFmtId="0" fontId="24" fillId="4" borderId="0" xfId="0" applyFont="1" applyFill="1" applyProtection="1">
      <protection hidden="1"/>
    </xf>
    <xf numFmtId="2" fontId="24" fillId="4" borderId="0" xfId="0" applyNumberFormat="1" applyFont="1" applyFill="1" applyProtection="1">
      <protection hidden="1"/>
    </xf>
    <xf numFmtId="2" fontId="24" fillId="4" borderId="0" xfId="0" applyNumberFormat="1" applyFont="1" applyFill="1" applyAlignment="1" applyProtection="1">
      <alignment horizontal="center" vertical="center"/>
      <protection hidden="1"/>
    </xf>
    <xf numFmtId="2" fontId="24" fillId="4" borderId="0" xfId="0" applyNumberFormat="1" applyFont="1" applyFill="1" applyBorder="1" applyAlignment="1" applyProtection="1">
      <alignment horizontal="center"/>
      <protection hidden="1"/>
    </xf>
    <xf numFmtId="0" fontId="128" fillId="4" borderId="0" xfId="0" applyFont="1" applyFill="1" applyBorder="1" applyAlignment="1" applyProtection="1">
      <protection hidden="1"/>
    </xf>
    <xf numFmtId="0" fontId="129" fillId="4" borderId="0" xfId="0" applyFont="1" applyFill="1" applyBorder="1" applyAlignment="1" applyProtection="1">
      <protection hidden="1"/>
    </xf>
    <xf numFmtId="0" fontId="130" fillId="4" borderId="0" xfId="0" applyFont="1" applyFill="1" applyBorder="1" applyAlignment="1" applyProtection="1">
      <protection hidden="1"/>
    </xf>
    <xf numFmtId="2" fontId="131" fillId="4" borderId="0" xfId="0" applyNumberFormat="1" applyFont="1" applyFill="1" applyBorder="1" applyAlignment="1" applyProtection="1">
      <protection hidden="1"/>
    </xf>
    <xf numFmtId="0" fontId="127" fillId="4" borderId="0" xfId="0" applyFont="1" applyFill="1" applyBorder="1" applyAlignment="1" applyProtection="1">
      <protection hidden="1"/>
    </xf>
    <xf numFmtId="9" fontId="24" fillId="4" borderId="0" xfId="0" applyNumberFormat="1" applyFont="1" applyFill="1" applyBorder="1" applyAlignment="1" applyProtection="1">
      <alignment horizontal="left"/>
      <protection hidden="1"/>
    </xf>
    <xf numFmtId="0" fontId="132" fillId="4" borderId="0" xfId="0" applyFont="1" applyFill="1" applyBorder="1" applyAlignment="1" applyProtection="1">
      <protection hidden="1"/>
    </xf>
    <xf numFmtId="0" fontId="70" fillId="4" borderId="0" xfId="0" applyFont="1" applyFill="1" applyBorder="1" applyAlignment="1" applyProtection="1">
      <alignment horizontal="left"/>
      <protection hidden="1"/>
    </xf>
    <xf numFmtId="0" fontId="70" fillId="4" borderId="0" xfId="0" applyFont="1" applyFill="1" applyProtection="1">
      <protection hidden="1"/>
    </xf>
    <xf numFmtId="0" fontId="70" fillId="4" borderId="0" xfId="0" applyFont="1" applyFill="1" applyBorder="1" applyAlignment="1" applyProtection="1">
      <protection hidden="1"/>
    </xf>
    <xf numFmtId="9" fontId="70" fillId="4" borderId="0" xfId="0" applyNumberFormat="1" applyFont="1" applyFill="1" applyBorder="1" applyAlignment="1" applyProtection="1">
      <alignment horizontal="left"/>
      <protection hidden="1"/>
    </xf>
    <xf numFmtId="0" fontId="37" fillId="4" borderId="0" xfId="0" applyFont="1" applyFill="1" applyBorder="1" applyAlignment="1" applyProtection="1">
      <alignment horizontal="center"/>
      <protection hidden="1"/>
    </xf>
    <xf numFmtId="0" fontId="16" fillId="4" borderId="0" xfId="0" applyFont="1" applyFill="1" applyBorder="1" applyProtection="1">
      <protection hidden="1"/>
    </xf>
    <xf numFmtId="0" fontId="30" fillId="4" borderId="0" xfId="0" applyFont="1" applyFill="1" applyProtection="1">
      <protection hidden="1"/>
    </xf>
    <xf numFmtId="0" fontId="20" fillId="4" borderId="0" xfId="0" applyFont="1" applyFill="1" applyProtection="1">
      <protection hidden="1"/>
    </xf>
    <xf numFmtId="2" fontId="16" fillId="4" borderId="0" xfId="0" applyNumberFormat="1" applyFont="1" applyFill="1" applyProtection="1">
      <protection hidden="1"/>
    </xf>
    <xf numFmtId="2" fontId="16" fillId="4" borderId="0" xfId="0" applyNumberFormat="1" applyFont="1" applyFill="1" applyAlignment="1" applyProtection="1">
      <alignment horizontal="center" vertical="center"/>
      <protection hidden="1"/>
    </xf>
    <xf numFmtId="2" fontId="16" fillId="4" borderId="0" xfId="0" applyNumberFormat="1" applyFont="1" applyFill="1" applyBorder="1" applyAlignment="1" applyProtection="1">
      <alignment horizontal="center"/>
      <protection hidden="1"/>
    </xf>
    <xf numFmtId="0" fontId="24" fillId="4" borderId="0" xfId="0" applyFont="1" applyFill="1" applyBorder="1" applyProtection="1">
      <protection hidden="1"/>
    </xf>
    <xf numFmtId="0" fontId="37" fillId="4" borderId="0" xfId="0" applyFont="1" applyFill="1" applyBorder="1" applyAlignment="1" applyProtection="1">
      <protection hidden="1"/>
    </xf>
    <xf numFmtId="0" fontId="133" fillId="4" borderId="0" xfId="0" applyFont="1" applyFill="1" applyBorder="1" applyAlignment="1" applyProtection="1">
      <alignment horizontal="center"/>
      <protection hidden="1"/>
    </xf>
    <xf numFmtId="2" fontId="131" fillId="4" borderId="0" xfId="0" applyNumberFormat="1" applyFont="1" applyFill="1" applyBorder="1" applyAlignment="1" applyProtection="1">
      <alignment horizontal="center"/>
      <protection hidden="1"/>
    </xf>
    <xf numFmtId="0" fontId="134" fillId="4" borderId="0" xfId="0" applyFont="1" applyFill="1" applyBorder="1" applyAlignment="1" applyProtection="1">
      <alignment horizontal="center"/>
      <protection hidden="1"/>
    </xf>
    <xf numFmtId="0" fontId="119" fillId="4" borderId="0" xfId="1" applyFont="1" applyFill="1" applyBorder="1" applyAlignment="1" applyProtection="1">
      <alignment horizontal="left" vertical="center"/>
      <protection hidden="1"/>
    </xf>
    <xf numFmtId="0" fontId="123" fillId="4" borderId="0" xfId="0" applyFont="1" applyFill="1" applyProtection="1">
      <protection hidden="1"/>
    </xf>
    <xf numFmtId="0" fontId="120" fillId="4" borderId="0" xfId="1" applyFont="1" applyFill="1" applyBorder="1" applyAlignment="1" applyProtection="1">
      <alignment horizontal="left"/>
      <protection hidden="1"/>
    </xf>
    <xf numFmtId="0" fontId="96" fillId="4" borderId="0" xfId="0" applyFont="1" applyFill="1" applyProtection="1">
      <protection hidden="1"/>
    </xf>
    <xf numFmtId="0" fontId="12" fillId="4" borderId="0" xfId="1" applyFill="1" applyAlignment="1" applyProtection="1">
      <protection hidden="1"/>
    </xf>
    <xf numFmtId="2" fontId="123" fillId="4" borderId="0" xfId="0" applyNumberFormat="1" applyFont="1" applyFill="1" applyProtection="1">
      <protection hidden="1"/>
    </xf>
    <xf numFmtId="2" fontId="123" fillId="4" borderId="0" xfId="0" applyNumberFormat="1" applyFont="1" applyFill="1" applyAlignment="1" applyProtection="1">
      <alignment horizontal="center" vertical="center"/>
      <protection hidden="1"/>
    </xf>
    <xf numFmtId="2" fontId="123" fillId="4" borderId="0" xfId="0" applyNumberFormat="1" applyFont="1" applyFill="1" applyBorder="1" applyAlignment="1" applyProtection="1">
      <alignment horizontal="center"/>
      <protection hidden="1"/>
    </xf>
    <xf numFmtId="0" fontId="120" fillId="4" borderId="0" xfId="1" applyFont="1" applyFill="1" applyBorder="1" applyAlignment="1" applyProtection="1">
      <protection hidden="1"/>
    </xf>
    <xf numFmtId="0" fontId="31" fillId="4" borderId="0" xfId="1" applyFont="1" applyFill="1" applyBorder="1" applyAlignment="1" applyProtection="1">
      <alignment horizontal="left"/>
      <protection hidden="1"/>
    </xf>
    <xf numFmtId="0" fontId="31" fillId="4" borderId="0" xfId="1" applyFont="1" applyFill="1" applyAlignment="1" applyProtection="1">
      <protection hidden="1"/>
    </xf>
    <xf numFmtId="2" fontId="20" fillId="4" borderId="0" xfId="0" applyNumberFormat="1" applyFont="1" applyFill="1" applyProtection="1">
      <protection hidden="1"/>
    </xf>
    <xf numFmtId="2" fontId="20" fillId="4" borderId="0" xfId="0" applyNumberFormat="1" applyFont="1" applyFill="1" applyAlignment="1" applyProtection="1">
      <alignment horizontal="center" vertical="center"/>
      <protection hidden="1"/>
    </xf>
    <xf numFmtId="2" fontId="20" fillId="4" borderId="0" xfId="0" applyNumberFormat="1" applyFont="1" applyFill="1" applyBorder="1" applyAlignment="1" applyProtection="1">
      <alignment horizontal="center"/>
      <protection hidden="1"/>
    </xf>
    <xf numFmtId="0" fontId="119" fillId="4" borderId="0" xfId="1" applyFont="1" applyFill="1" applyBorder="1" applyAlignment="1" applyProtection="1">
      <alignment horizontal="left"/>
      <protection hidden="1"/>
    </xf>
    <xf numFmtId="0" fontId="51" fillId="4" borderId="0" xfId="0" applyFont="1" applyFill="1" applyProtection="1">
      <protection hidden="1"/>
    </xf>
    <xf numFmtId="0" fontId="135" fillId="4" borderId="0" xfId="0" applyFont="1" applyFill="1" applyProtection="1">
      <protection hidden="1"/>
    </xf>
    <xf numFmtId="0" fontId="111" fillId="4" borderId="0" xfId="0" applyFont="1" applyFill="1" applyProtection="1">
      <protection hidden="1"/>
    </xf>
    <xf numFmtId="0" fontId="121" fillId="4" borderId="0" xfId="0" applyFont="1" applyFill="1" applyBorder="1" applyAlignment="1" applyProtection="1">
      <alignment vertical="justify"/>
      <protection hidden="1"/>
    </xf>
    <xf numFmtId="0" fontId="0" fillId="4" borderId="0" xfId="0" applyFill="1"/>
    <xf numFmtId="0" fontId="22" fillId="4" borderId="0" xfId="0" applyFont="1" applyFill="1" applyBorder="1" applyAlignment="1" applyProtection="1">
      <alignment vertical="center"/>
      <protection hidden="1"/>
    </xf>
    <xf numFmtId="0" fontId="22" fillId="4" borderId="0" xfId="0" applyFont="1" applyFill="1" applyAlignment="1" applyProtection="1">
      <alignment vertical="center"/>
      <protection hidden="1"/>
    </xf>
    <xf numFmtId="0" fontId="21" fillId="4" borderId="0" xfId="0" applyFont="1" applyFill="1" applyProtection="1">
      <protection hidden="1"/>
    </xf>
    <xf numFmtId="2" fontId="31" fillId="4" borderId="0" xfId="1" applyNumberFormat="1" applyFont="1" applyFill="1" applyAlignment="1" applyProtection="1">
      <protection hidden="1"/>
    </xf>
    <xf numFmtId="0" fontId="20" fillId="4" borderId="0" xfId="0" applyFont="1" applyFill="1" applyBorder="1" applyAlignment="1" applyProtection="1">
      <alignment vertical="center"/>
      <protection hidden="1"/>
    </xf>
    <xf numFmtId="0" fontId="20" fillId="4" borderId="0" xfId="0" applyFont="1" applyFill="1" applyAlignment="1" applyProtection="1">
      <alignment vertical="center"/>
      <protection hidden="1"/>
    </xf>
    <xf numFmtId="0" fontId="6" fillId="4" borderId="0" xfId="0" applyFont="1" applyFill="1" applyBorder="1" applyAlignment="1" applyProtection="1">
      <alignment vertical="center"/>
      <protection hidden="1"/>
    </xf>
    <xf numFmtId="0" fontId="19" fillId="4" borderId="0" xfId="0" applyFont="1" applyFill="1" applyBorder="1" applyProtection="1">
      <protection hidden="1"/>
    </xf>
    <xf numFmtId="0" fontId="19" fillId="4" borderId="0" xfId="0" applyFont="1" applyFill="1" applyProtection="1">
      <protection hidden="1"/>
    </xf>
    <xf numFmtId="0" fontId="17" fillId="4" borderId="0" xfId="0" applyFont="1" applyFill="1" applyProtection="1">
      <protection hidden="1"/>
    </xf>
    <xf numFmtId="2" fontId="17" fillId="4" borderId="0" xfId="0" applyNumberFormat="1" applyFont="1" applyFill="1" applyProtection="1">
      <protection hidden="1"/>
    </xf>
    <xf numFmtId="0" fontId="17" fillId="4" borderId="0" xfId="0" applyFont="1" applyFill="1" applyBorder="1" applyProtection="1">
      <protection hidden="1"/>
    </xf>
    <xf numFmtId="2" fontId="17" fillId="4" borderId="0" xfId="0" applyNumberFormat="1" applyFont="1" applyFill="1" applyBorder="1" applyAlignment="1" applyProtection="1">
      <alignment horizontal="center"/>
      <protection hidden="1"/>
    </xf>
    <xf numFmtId="0" fontId="23" fillId="4" borderId="0" xfId="0" applyFont="1" applyFill="1" applyBorder="1" applyAlignment="1" applyProtection="1">
      <alignment horizontal="center" vertical="center"/>
      <protection hidden="1"/>
    </xf>
    <xf numFmtId="0" fontId="19" fillId="4" borderId="0" xfId="0" applyFont="1" applyFill="1" applyAlignment="1" applyProtection="1">
      <alignment horizontal="left"/>
      <protection hidden="1"/>
    </xf>
    <xf numFmtId="2" fontId="17" fillId="4" borderId="0" xfId="0" applyNumberFormat="1" applyFont="1" applyFill="1" applyAlignment="1" applyProtection="1">
      <alignment horizontal="center" vertical="center"/>
      <protection hidden="1"/>
    </xf>
    <xf numFmtId="0" fontId="17" fillId="4" borderId="0" xfId="0" applyFont="1" applyFill="1" applyAlignment="1" applyProtection="1">
      <alignment horizontal="left"/>
      <protection hidden="1"/>
    </xf>
    <xf numFmtId="0" fontId="19" fillId="4" borderId="0" xfId="0" applyFont="1" applyFill="1" applyAlignment="1" applyProtection="1">
      <protection hidden="1"/>
    </xf>
    <xf numFmtId="2" fontId="19" fillId="4" borderId="0" xfId="0" applyNumberFormat="1" applyFont="1" applyFill="1" applyAlignment="1" applyProtection="1">
      <protection hidden="1"/>
    </xf>
    <xf numFmtId="0" fontId="136" fillId="4" borderId="0" xfId="1" applyFont="1" applyFill="1" applyAlignment="1" applyProtection="1">
      <protection hidden="1"/>
    </xf>
    <xf numFmtId="0" fontId="178" fillId="4" borderId="0" xfId="0" applyFont="1" applyFill="1"/>
    <xf numFmtId="0" fontId="12" fillId="4" borderId="0" xfId="1" applyFill="1" applyBorder="1" applyAlignment="1" applyProtection="1">
      <alignment horizontal="center"/>
    </xf>
    <xf numFmtId="0" fontId="17" fillId="4" borderId="0" xfId="0" applyFont="1" applyFill="1" applyBorder="1" applyAlignment="1" applyProtection="1">
      <alignment horizontal="center" vertical="center"/>
      <protection hidden="1"/>
    </xf>
    <xf numFmtId="2" fontId="26" fillId="4" borderId="0" xfId="0" applyNumberFormat="1" applyFont="1" applyFill="1" applyBorder="1" applyAlignment="1" applyProtection="1">
      <alignment horizontal="center" vertical="center"/>
      <protection hidden="1"/>
    </xf>
    <xf numFmtId="2" fontId="17" fillId="4" borderId="0" xfId="0" applyNumberFormat="1" applyFont="1" applyFill="1" applyBorder="1" applyAlignment="1" applyProtection="1">
      <alignment horizontal="center" vertical="center"/>
      <protection hidden="1"/>
    </xf>
    <xf numFmtId="0" fontId="17" fillId="4" borderId="90" xfId="0" applyFont="1" applyFill="1" applyBorder="1" applyAlignment="1" applyProtection="1">
      <alignment horizontal="left"/>
      <protection hidden="1"/>
    </xf>
    <xf numFmtId="0" fontId="17" fillId="4" borderId="90" xfId="0" applyFont="1" applyFill="1" applyBorder="1" applyAlignment="1" applyProtection="1">
      <alignment horizontal="center" vertical="center"/>
      <protection hidden="1"/>
    </xf>
    <xf numFmtId="1" fontId="17" fillId="4" borderId="90" xfId="0" applyNumberFormat="1" applyFont="1" applyFill="1" applyBorder="1" applyAlignment="1" applyProtection="1">
      <alignment horizontal="center" vertical="center"/>
      <protection hidden="1"/>
    </xf>
    <xf numFmtId="0" fontId="17" fillId="71" borderId="92" xfId="0" applyFont="1" applyFill="1" applyBorder="1" applyAlignment="1" applyProtection="1">
      <alignment horizontal="left"/>
      <protection hidden="1"/>
    </xf>
    <xf numFmtId="0" fontId="17" fillId="71" borderId="92" xfId="0" applyFont="1" applyFill="1" applyBorder="1" applyAlignment="1" applyProtection="1">
      <alignment horizontal="center" vertical="center"/>
      <protection hidden="1"/>
    </xf>
    <xf numFmtId="1" fontId="17" fillId="71" borderId="92" xfId="0" applyNumberFormat="1" applyFont="1" applyFill="1" applyBorder="1" applyAlignment="1" applyProtection="1">
      <alignment horizontal="center" vertical="center"/>
      <protection hidden="1"/>
    </xf>
    <xf numFmtId="0" fontId="180" fillId="4" borderId="91" xfId="0" applyFont="1" applyFill="1" applyBorder="1" applyAlignment="1" applyProtection="1">
      <alignment horizontal="center"/>
      <protection hidden="1"/>
    </xf>
    <xf numFmtId="0" fontId="180" fillId="4" borderId="91" xfId="0" applyFont="1" applyFill="1" applyBorder="1" applyAlignment="1" applyProtection="1">
      <alignment horizontal="center" vertical="center"/>
      <protection hidden="1"/>
    </xf>
    <xf numFmtId="2" fontId="180" fillId="4" borderId="91" xfId="0" applyNumberFormat="1" applyFont="1" applyFill="1" applyBorder="1" applyAlignment="1" applyProtection="1">
      <alignment horizontal="center" vertical="center"/>
      <protection hidden="1"/>
    </xf>
    <xf numFmtId="9" fontId="180" fillId="72" borderId="91" xfId="88" applyFont="1" applyFill="1" applyBorder="1" applyAlignment="1" applyProtection="1">
      <alignment horizontal="center" vertical="center"/>
      <protection hidden="1"/>
    </xf>
    <xf numFmtId="0" fontId="164" fillId="4" borderId="0" xfId="1" applyFont="1" applyFill="1" applyAlignment="1" applyProtection="1">
      <protection hidden="1"/>
    </xf>
    <xf numFmtId="2" fontId="164" fillId="4" borderId="0" xfId="1" applyNumberFormat="1" applyFont="1" applyFill="1" applyAlignment="1" applyProtection="1">
      <protection hidden="1"/>
    </xf>
    <xf numFmtId="0" fontId="20" fillId="4" borderId="0" xfId="0" applyFont="1" applyFill="1" applyAlignment="1" applyProtection="1">
      <protection hidden="1"/>
    </xf>
    <xf numFmtId="0" fontId="55" fillId="4" borderId="0" xfId="0" applyFont="1" applyFill="1" applyBorder="1" applyAlignment="1" applyProtection="1">
      <protection hidden="1"/>
    </xf>
    <xf numFmtId="0" fontId="25" fillId="4" borderId="0" xfId="0" applyFont="1" applyFill="1" applyBorder="1" applyProtection="1">
      <protection hidden="1"/>
    </xf>
    <xf numFmtId="0" fontId="25" fillId="4" borderId="0" xfId="0" applyFont="1" applyFill="1" applyProtection="1">
      <protection hidden="1"/>
    </xf>
    <xf numFmtId="0" fontId="26" fillId="4" borderId="0" xfId="0" applyFont="1" applyFill="1" applyProtection="1">
      <protection hidden="1"/>
    </xf>
    <xf numFmtId="2" fontId="26" fillId="4" borderId="0" xfId="0" applyNumberFormat="1" applyFont="1" applyFill="1" applyProtection="1">
      <protection hidden="1"/>
    </xf>
    <xf numFmtId="0" fontId="26" fillId="4" borderId="0" xfId="0" applyFont="1" applyFill="1" applyBorder="1" applyProtection="1">
      <protection hidden="1"/>
    </xf>
    <xf numFmtId="0" fontId="27" fillId="4" borderId="0" xfId="0" applyFont="1" applyFill="1" applyBorder="1" applyAlignment="1" applyProtection="1">
      <alignment horizontal="center" vertical="center"/>
      <protection hidden="1"/>
    </xf>
    <xf numFmtId="0" fontId="26" fillId="4" borderId="0" xfId="0" applyFont="1" applyFill="1" applyBorder="1" applyAlignment="1" applyProtection="1">
      <protection hidden="1"/>
    </xf>
    <xf numFmtId="0" fontId="26" fillId="4" borderId="0" xfId="0" applyFont="1" applyFill="1" applyBorder="1" applyAlignment="1" applyProtection="1">
      <alignment horizontal="center" vertical="center"/>
      <protection hidden="1"/>
    </xf>
    <xf numFmtId="1" fontId="26" fillId="4" borderId="0" xfId="0" applyNumberFormat="1" applyFont="1" applyFill="1" applyBorder="1" applyAlignment="1" applyProtection="1">
      <alignment horizontal="center" vertical="center"/>
      <protection hidden="1"/>
    </xf>
    <xf numFmtId="0" fontId="33" fillId="4" borderId="0" xfId="0" applyFont="1" applyFill="1" applyProtection="1">
      <protection hidden="1"/>
    </xf>
    <xf numFmtId="0" fontId="20" fillId="4" borderId="0" xfId="0" applyFont="1" applyFill="1" applyBorder="1" applyAlignment="1" applyProtection="1">
      <alignment horizontal="center" vertical="center"/>
      <protection hidden="1"/>
    </xf>
    <xf numFmtId="0" fontId="20" fillId="4" borderId="0" xfId="0" applyFont="1" applyFill="1" applyBorder="1" applyAlignment="1" applyProtection="1">
      <protection hidden="1"/>
    </xf>
    <xf numFmtId="2" fontId="33" fillId="4" borderId="0" xfId="0" applyNumberFormat="1" applyFont="1" applyFill="1" applyProtection="1">
      <protection hidden="1"/>
    </xf>
    <xf numFmtId="0" fontId="0" fillId="4" borderId="0" xfId="0" applyFill="1" applyBorder="1" applyProtection="1">
      <protection hidden="1"/>
    </xf>
    <xf numFmtId="0" fontId="20" fillId="4" borderId="0" xfId="0" applyFont="1" applyFill="1" applyAlignment="1" applyProtection="1">
      <alignment horizontal="left"/>
      <protection hidden="1"/>
    </xf>
    <xf numFmtId="0" fontId="29" fillId="4" borderId="0" xfId="0" applyFont="1" applyFill="1" applyBorder="1" applyProtection="1">
      <protection hidden="1"/>
    </xf>
    <xf numFmtId="0" fontId="20" fillId="4" borderId="0" xfId="0" applyFont="1" applyFill="1" applyBorder="1" applyProtection="1">
      <protection hidden="1"/>
    </xf>
    <xf numFmtId="0" fontId="17" fillId="4" borderId="0" xfId="0" applyFont="1" applyFill="1" applyBorder="1" applyAlignment="1" applyProtection="1">
      <alignment vertical="center"/>
      <protection hidden="1"/>
    </xf>
    <xf numFmtId="0" fontId="19" fillId="4" borderId="0" xfId="0" applyFont="1" applyFill="1" applyAlignment="1" applyProtection="1">
      <alignment vertical="justify"/>
      <protection hidden="1"/>
    </xf>
    <xf numFmtId="0" fontId="21" fillId="4" borderId="6" xfId="0" applyFont="1" applyFill="1" applyBorder="1" applyAlignment="1" applyProtection="1">
      <alignment horizontal="center" vertical="center"/>
      <protection hidden="1"/>
    </xf>
    <xf numFmtId="0" fontId="20" fillId="4" borderId="6" xfId="0" applyFont="1" applyFill="1" applyBorder="1" applyAlignment="1" applyProtection="1">
      <alignment horizontal="center" vertical="center"/>
      <protection hidden="1"/>
    </xf>
    <xf numFmtId="0" fontId="105" fillId="4" borderId="0" xfId="0" applyFont="1" applyFill="1" applyBorder="1" applyAlignment="1" applyProtection="1">
      <alignment vertical="center"/>
      <protection hidden="1"/>
    </xf>
    <xf numFmtId="0" fontId="33" fillId="4" borderId="0" xfId="0" applyFont="1" applyFill="1" applyAlignment="1" applyProtection="1">
      <alignment horizontal="justify" vertical="justify"/>
      <protection hidden="1"/>
    </xf>
    <xf numFmtId="0" fontId="19" fillId="4" borderId="0" xfId="0" applyFont="1" applyFill="1" applyBorder="1" applyAlignment="1" applyProtection="1">
      <alignment horizontal="left"/>
      <protection hidden="1"/>
    </xf>
    <xf numFmtId="0" fontId="33" fillId="4" borderId="0" xfId="0" applyFont="1" applyFill="1" applyBorder="1" applyProtection="1">
      <protection hidden="1"/>
    </xf>
    <xf numFmtId="0" fontId="25" fillId="4" borderId="0" xfId="0" applyFont="1" applyFill="1" applyBorder="1" applyAlignment="1" applyProtection="1">
      <alignment horizontal="left"/>
      <protection hidden="1"/>
    </xf>
    <xf numFmtId="0" fontId="33" fillId="4" borderId="0" xfId="0" applyFont="1" applyFill="1" applyAlignment="1" applyProtection="1">
      <alignment horizontal="left" vertical="justify" wrapText="1"/>
      <protection hidden="1"/>
    </xf>
    <xf numFmtId="0" fontId="20" fillId="4" borderId="0" xfId="0" applyFont="1" applyFill="1" applyAlignment="1" applyProtection="1">
      <alignment horizontal="left" vertical="center"/>
      <protection hidden="1"/>
    </xf>
    <xf numFmtId="0" fontId="21" fillId="4" borderId="0" xfId="0" applyFont="1" applyFill="1" applyBorder="1" applyProtection="1">
      <protection hidden="1"/>
    </xf>
    <xf numFmtId="0" fontId="168" fillId="4" borderId="0" xfId="0" applyFont="1" applyFill="1" applyBorder="1" applyAlignment="1" applyProtection="1">
      <alignment horizontal="center" vertical="center"/>
      <protection hidden="1"/>
    </xf>
    <xf numFmtId="0" fontId="17" fillId="4" borderId="0" xfId="0" applyFont="1" applyFill="1" applyBorder="1" applyAlignment="1" applyProtection="1">
      <alignment horizontal="left" vertical="center"/>
      <protection hidden="1"/>
    </xf>
    <xf numFmtId="0" fontId="26" fillId="4" borderId="0" xfId="0" applyFont="1" applyFill="1" applyBorder="1" applyAlignment="1" applyProtection="1">
      <alignment horizontal="center"/>
      <protection hidden="1"/>
    </xf>
    <xf numFmtId="0" fontId="20" fillId="4" borderId="0" xfId="0" applyFont="1" applyFill="1" applyBorder="1" applyAlignment="1" applyProtection="1">
      <alignment horizontal="center"/>
      <protection hidden="1"/>
    </xf>
    <xf numFmtId="0" fontId="20" fillId="4" borderId="0" xfId="0" applyFont="1" applyFill="1" applyAlignment="1" applyProtection="1">
      <alignment wrapText="1"/>
      <protection hidden="1"/>
    </xf>
    <xf numFmtId="0" fontId="15" fillId="4" borderId="0" xfId="0" applyFont="1" applyFill="1" applyProtection="1">
      <protection hidden="1"/>
    </xf>
    <xf numFmtId="0" fontId="30" fillId="4" borderId="0" xfId="0" applyFont="1" applyFill="1" applyBorder="1" applyAlignment="1" applyProtection="1">
      <alignment horizontal="center" vertical="center"/>
      <protection hidden="1"/>
    </xf>
    <xf numFmtId="0" fontId="39" fillId="4" borderId="0" xfId="0" applyFont="1" applyFill="1" applyProtection="1">
      <protection hidden="1"/>
    </xf>
    <xf numFmtId="0" fontId="17" fillId="4" borderId="0" xfId="0" applyFont="1" applyFill="1" applyAlignment="1" applyProtection="1">
      <alignment vertical="center"/>
      <protection hidden="1"/>
    </xf>
    <xf numFmtId="2" fontId="17" fillId="4" borderId="0" xfId="0" applyNumberFormat="1" applyFont="1" applyFill="1" applyBorder="1" applyProtection="1">
      <protection hidden="1"/>
    </xf>
    <xf numFmtId="0" fontId="12" fillId="4" borderId="0" xfId="1" applyFont="1" applyFill="1" applyAlignment="1" applyProtection="1">
      <protection hidden="1"/>
    </xf>
    <xf numFmtId="0" fontId="20" fillId="4" borderId="0" xfId="0" applyFont="1" applyFill="1" applyAlignment="1" applyProtection="1">
      <alignment horizontal="left" wrapText="1"/>
      <protection hidden="1"/>
    </xf>
    <xf numFmtId="0" fontId="17" fillId="4" borderId="0" xfId="0" applyFont="1" applyFill="1" applyBorder="1" applyAlignment="1" applyProtection="1">
      <alignment horizontal="center"/>
      <protection hidden="1"/>
    </xf>
    <xf numFmtId="0" fontId="163" fillId="4" borderId="0" xfId="1" applyFont="1" applyFill="1" applyAlignment="1" applyProtection="1">
      <protection hidden="1"/>
    </xf>
    <xf numFmtId="2" fontId="163" fillId="4" borderId="0" xfId="1" applyNumberFormat="1" applyFont="1" applyFill="1" applyAlignment="1" applyProtection="1">
      <protection hidden="1"/>
    </xf>
    <xf numFmtId="0" fontId="5" fillId="4" borderId="40" xfId="0" applyFont="1" applyFill="1" applyBorder="1" applyAlignment="1" applyProtection="1">
      <protection hidden="1"/>
    </xf>
    <xf numFmtId="0" fontId="19" fillId="4" borderId="40" xfId="0" applyFont="1" applyFill="1" applyBorder="1" applyAlignment="1" applyProtection="1">
      <protection hidden="1"/>
    </xf>
    <xf numFmtId="0" fontId="17" fillId="4" borderId="0" xfId="0" applyFont="1" applyFill="1" applyAlignment="1" applyProtection="1">
      <alignment horizontal="center"/>
      <protection hidden="1"/>
    </xf>
    <xf numFmtId="0" fontId="44" fillId="4" borderId="0" xfId="0" applyFont="1" applyFill="1" applyProtection="1">
      <protection hidden="1"/>
    </xf>
    <xf numFmtId="0" fontId="34" fillId="4" borderId="0" xfId="0" applyFont="1" applyFill="1" applyBorder="1" applyAlignment="1" applyProtection="1">
      <alignment horizontal="center"/>
      <protection hidden="1"/>
    </xf>
    <xf numFmtId="9" fontId="17" fillId="4" borderId="0" xfId="88" applyFont="1" applyFill="1" applyBorder="1" applyAlignment="1" applyProtection="1">
      <alignment horizontal="center" vertical="center"/>
      <protection hidden="1"/>
    </xf>
    <xf numFmtId="1" fontId="30" fillId="4" borderId="0" xfId="0" applyNumberFormat="1" applyFont="1" applyFill="1" applyBorder="1" applyAlignment="1" applyProtection="1">
      <alignment horizontal="center" vertical="center"/>
      <protection hidden="1"/>
    </xf>
    <xf numFmtId="0" fontId="19" fillId="4" borderId="0" xfId="0" applyFont="1" applyFill="1" applyBorder="1" applyAlignment="1" applyProtection="1">
      <alignment horizontal="right"/>
      <protection hidden="1"/>
    </xf>
    <xf numFmtId="0" fontId="42" fillId="4" borderId="0" xfId="0" applyFont="1" applyFill="1" applyProtection="1">
      <protection hidden="1"/>
    </xf>
    <xf numFmtId="0" fontId="19" fillId="4" borderId="0" xfId="0" applyFont="1" applyFill="1" applyBorder="1" applyAlignment="1" applyProtection="1">
      <protection hidden="1"/>
    </xf>
    <xf numFmtId="2" fontId="20" fillId="4" borderId="0" xfId="0" applyNumberFormat="1" applyFont="1" applyFill="1" applyAlignment="1" applyProtection="1">
      <alignment vertical="center"/>
      <protection hidden="1"/>
    </xf>
    <xf numFmtId="2" fontId="20" fillId="4" borderId="0" xfId="0" applyNumberFormat="1" applyFont="1" applyFill="1" applyBorder="1" applyAlignment="1" applyProtection="1">
      <alignment horizontal="center" vertical="center"/>
      <protection hidden="1"/>
    </xf>
    <xf numFmtId="2" fontId="41" fillId="4" borderId="0" xfId="1" applyNumberFormat="1" applyFont="1" applyFill="1" applyAlignment="1" applyProtection="1">
      <protection hidden="1"/>
    </xf>
    <xf numFmtId="0" fontId="20" fillId="4" borderId="0" xfId="0" applyFont="1" applyFill="1" applyAlignment="1" applyProtection="1">
      <alignment horizontal="left" vertical="justify"/>
      <protection hidden="1"/>
    </xf>
    <xf numFmtId="0" fontId="21" fillId="4" borderId="26" xfId="0" applyFont="1" applyFill="1" applyBorder="1" applyAlignment="1" applyProtection="1">
      <alignment horizontal="center" vertical="center"/>
      <protection hidden="1"/>
    </xf>
    <xf numFmtId="0" fontId="20" fillId="4" borderId="26" xfId="0" applyFont="1" applyFill="1" applyBorder="1" applyAlignment="1" applyProtection="1">
      <alignment horizontal="center" vertical="center"/>
      <protection hidden="1"/>
    </xf>
    <xf numFmtId="0" fontId="6" fillId="4" borderId="6" xfId="0" applyFont="1" applyFill="1" applyBorder="1" applyAlignment="1" applyProtection="1">
      <alignment horizontal="center" vertical="center"/>
      <protection hidden="1"/>
    </xf>
    <xf numFmtId="2" fontId="20" fillId="4" borderId="0" xfId="0" applyNumberFormat="1" applyFont="1" applyFill="1" applyAlignment="1" applyProtection="1">
      <protection hidden="1"/>
    </xf>
    <xf numFmtId="2" fontId="26" fillId="4" borderId="0" xfId="0" applyNumberFormat="1" applyFont="1" applyFill="1" applyAlignment="1" applyProtection="1">
      <alignment horizontal="center" vertical="center"/>
      <protection hidden="1"/>
    </xf>
    <xf numFmtId="0" fontId="0" fillId="4" borderId="0" xfId="0" applyFill="1" applyProtection="1">
      <protection hidden="1"/>
    </xf>
    <xf numFmtId="2" fontId="0" fillId="4" borderId="0" xfId="0" applyNumberForma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2" fontId="0" fillId="4" borderId="0" xfId="0" applyNumberFormat="1" applyFill="1" applyProtection="1">
      <protection hidden="1"/>
    </xf>
    <xf numFmtId="2" fontId="19" fillId="4" borderId="0" xfId="0" applyNumberFormat="1" applyFont="1" applyFill="1" applyAlignment="1" applyProtection="1">
      <alignment horizontal="center" vertical="center"/>
      <protection hidden="1"/>
    </xf>
    <xf numFmtId="0" fontId="0" fillId="4" borderId="0" xfId="0" applyFont="1" applyFill="1" applyProtection="1">
      <protection hidden="1"/>
    </xf>
    <xf numFmtId="0" fontId="105" fillId="4" borderId="0" xfId="0" applyFont="1" applyFill="1" applyAlignment="1" applyProtection="1">
      <alignment vertical="center"/>
      <protection hidden="1"/>
    </xf>
    <xf numFmtId="0" fontId="167" fillId="4" borderId="0" xfId="0" applyFont="1" applyFill="1" applyProtection="1">
      <protection hidden="1"/>
    </xf>
    <xf numFmtId="2" fontId="105" fillId="4" borderId="0" xfId="0" applyNumberFormat="1" applyFont="1" applyFill="1" applyAlignment="1" applyProtection="1">
      <alignment vertical="center"/>
      <protection hidden="1"/>
    </xf>
    <xf numFmtId="0" fontId="33" fillId="4" borderId="0" xfId="0" applyFont="1" applyFill="1" applyAlignment="1" applyProtection="1">
      <alignment horizontal="left" vertical="justify"/>
      <protection hidden="1"/>
    </xf>
    <xf numFmtId="2" fontId="33" fillId="4" borderId="0" xfId="0" applyNumberFormat="1" applyFont="1" applyFill="1" applyAlignment="1" applyProtection="1">
      <alignment horizontal="left" vertical="justify"/>
      <protection hidden="1"/>
    </xf>
    <xf numFmtId="0" fontId="26" fillId="4" borderId="0" xfId="0" applyFont="1" applyFill="1" applyAlignment="1" applyProtection="1">
      <alignment horizontal="left" vertical="justify"/>
      <protection hidden="1"/>
    </xf>
    <xf numFmtId="2" fontId="26" fillId="4" borderId="0" xfId="0" applyNumberFormat="1" applyFont="1" applyFill="1" applyAlignment="1" applyProtection="1">
      <alignment horizontal="left" vertical="justify"/>
      <protection hidden="1"/>
    </xf>
    <xf numFmtId="2" fontId="17" fillId="4" borderId="0" xfId="0" applyNumberFormat="1" applyFont="1" applyFill="1" applyBorder="1" applyAlignment="1" applyProtection="1">
      <alignment vertical="center"/>
      <protection hidden="1"/>
    </xf>
    <xf numFmtId="0" fontId="48" fillId="4" borderId="0" xfId="0" applyFont="1" applyFill="1" applyProtection="1">
      <protection hidden="1"/>
    </xf>
    <xf numFmtId="0" fontId="182" fillId="4" borderId="0" xfId="0" applyFont="1" applyFill="1" applyProtection="1">
      <protection hidden="1"/>
    </xf>
    <xf numFmtId="0" fontId="183" fillId="70" borderId="0" xfId="0" applyFont="1" applyFill="1" applyProtection="1">
      <protection hidden="1"/>
    </xf>
    <xf numFmtId="0" fontId="183" fillId="73" borderId="0" xfId="1" applyFont="1" applyFill="1" applyBorder="1" applyAlignment="1" applyProtection="1">
      <alignment horizontal="left" vertical="center"/>
      <protection hidden="1"/>
    </xf>
    <xf numFmtId="0" fontId="183" fillId="73" borderId="0" xfId="1" applyFont="1" applyFill="1" applyAlignment="1" applyProtection="1">
      <alignment horizontal="left"/>
      <protection hidden="1"/>
    </xf>
    <xf numFmtId="0" fontId="184" fillId="73" borderId="0" xfId="0" applyFont="1" applyFill="1" applyAlignment="1" applyProtection="1">
      <alignment horizontal="left"/>
      <protection hidden="1"/>
    </xf>
    <xf numFmtId="0" fontId="183" fillId="73" borderId="0" xfId="0" applyFont="1" applyFill="1" applyProtection="1">
      <protection hidden="1"/>
    </xf>
    <xf numFmtId="2" fontId="183" fillId="73" borderId="0" xfId="0" applyNumberFormat="1" applyFont="1" applyFill="1" applyProtection="1">
      <protection hidden="1"/>
    </xf>
    <xf numFmtId="2" fontId="183" fillId="73" borderId="0" xfId="0" applyNumberFormat="1" applyFont="1" applyFill="1" applyAlignment="1" applyProtection="1">
      <alignment horizontal="center" vertical="center"/>
      <protection hidden="1"/>
    </xf>
    <xf numFmtId="2" fontId="183" fillId="73" borderId="0" xfId="0" applyNumberFormat="1" applyFont="1" applyFill="1" applyBorder="1" applyAlignment="1" applyProtection="1">
      <alignment horizontal="center"/>
      <protection hidden="1"/>
    </xf>
    <xf numFmtId="9" fontId="185" fillId="73" borderId="0" xfId="0" applyNumberFormat="1" applyFont="1" applyFill="1" applyBorder="1" applyAlignment="1" applyProtection="1">
      <alignment horizontal="center"/>
      <protection hidden="1"/>
    </xf>
    <xf numFmtId="0" fontId="186" fillId="73" borderId="0" xfId="1" applyFont="1" applyFill="1" applyAlignment="1" applyProtection="1">
      <protection hidden="1"/>
    </xf>
    <xf numFmtId="0" fontId="51" fillId="0" borderId="0" xfId="0" applyFont="1" applyFill="1" applyProtection="1">
      <protection hidden="1"/>
    </xf>
    <xf numFmtId="177" fontId="17" fillId="71" borderId="92" xfId="0" applyNumberFormat="1" applyFont="1" applyFill="1" applyBorder="1" applyAlignment="1" applyProtection="1">
      <alignment horizontal="center"/>
      <protection hidden="1"/>
    </xf>
    <xf numFmtId="177" fontId="17" fillId="4" borderId="90" xfId="0" applyNumberFormat="1" applyFont="1" applyFill="1" applyBorder="1" applyAlignment="1" applyProtection="1">
      <alignment horizontal="center"/>
      <protection hidden="1"/>
    </xf>
    <xf numFmtId="0" fontId="20" fillId="4" borderId="0" xfId="0" applyFont="1" applyFill="1" applyAlignment="1" applyProtection="1">
      <alignment horizontal="left" wrapText="1"/>
      <protection hidden="1"/>
    </xf>
    <xf numFmtId="0" fontId="20" fillId="4" borderId="0" xfId="0" applyFont="1" applyFill="1" applyBorder="1" applyAlignment="1" applyProtection="1">
      <alignment wrapText="1"/>
      <protection hidden="1"/>
    </xf>
    <xf numFmtId="0" fontId="33" fillId="4" borderId="0" xfId="0" applyFont="1" applyFill="1" applyAlignment="1">
      <alignment wrapText="1"/>
    </xf>
    <xf numFmtId="0" fontId="20" fillId="4" borderId="0" xfId="0" applyFont="1" applyFill="1" applyBorder="1" applyAlignment="1" applyProtection="1">
      <alignment horizontal="left"/>
      <protection hidden="1"/>
    </xf>
    <xf numFmtId="0" fontId="20" fillId="4" borderId="0" xfId="0" applyFont="1" applyFill="1" applyAlignment="1" applyProtection="1">
      <alignment horizontal="left" vertical="justify"/>
      <protection hidden="1"/>
    </xf>
    <xf numFmtId="0" fontId="33" fillId="4" borderId="0" xfId="0" applyFont="1" applyFill="1" applyAlignment="1">
      <alignment horizontal="left" vertical="justify"/>
    </xf>
    <xf numFmtId="0" fontId="17" fillId="71" borderId="92" xfId="0" applyFont="1" applyFill="1" applyBorder="1" applyAlignment="1" applyProtection="1">
      <alignment horizontal="center"/>
      <protection hidden="1"/>
    </xf>
    <xf numFmtId="0" fontId="17" fillId="4" borderId="90" xfId="0" applyFont="1" applyFill="1" applyBorder="1" applyAlignment="1" applyProtection="1">
      <alignment horizontal="center"/>
      <protection hidden="1"/>
    </xf>
    <xf numFmtId="0" fontId="17" fillId="4" borderId="0" xfId="0" applyFont="1" applyFill="1" applyBorder="1" applyAlignment="1" applyProtection="1">
      <alignment horizontal="left"/>
      <protection hidden="1"/>
    </xf>
    <xf numFmtId="2" fontId="187" fillId="4" borderId="0" xfId="0" applyNumberFormat="1" applyFont="1" applyFill="1" applyBorder="1" applyAlignment="1" applyProtection="1">
      <alignment horizontal="center"/>
      <protection hidden="1"/>
    </xf>
    <xf numFmtId="177" fontId="17" fillId="72" borderId="92" xfId="0" applyNumberFormat="1" applyFont="1" applyFill="1" applyBorder="1" applyAlignment="1" applyProtection="1">
      <alignment horizontal="center" vertical="center"/>
      <protection hidden="1"/>
    </xf>
    <xf numFmtId="0" fontId="19" fillId="4" borderId="0" xfId="0" applyFont="1" applyFill="1" applyBorder="1" applyAlignment="1" applyProtection="1">
      <alignment vertical="top"/>
      <protection hidden="1"/>
    </xf>
    <xf numFmtId="0" fontId="33" fillId="4" borderId="0" xfId="0" applyFont="1" applyFill="1" applyAlignment="1" applyProtection="1">
      <alignment horizontal="justify" vertical="justify"/>
      <protection hidden="1"/>
    </xf>
    <xf numFmtId="1" fontId="17" fillId="71" borderId="92" xfId="0" applyNumberFormat="1" applyFont="1" applyFill="1" applyBorder="1" applyAlignment="1" applyProtection="1">
      <alignment horizontal="center"/>
      <protection hidden="1"/>
    </xf>
    <xf numFmtId="1" fontId="17" fillId="4" borderId="90" xfId="0" applyNumberFormat="1" applyFont="1" applyFill="1" applyBorder="1" applyAlignment="1" applyProtection="1">
      <alignment horizontal="center"/>
      <protection hidden="1"/>
    </xf>
    <xf numFmtId="1" fontId="17" fillId="4" borderId="0" xfId="0" applyNumberFormat="1" applyFont="1" applyFill="1" applyProtection="1">
      <protection hidden="1"/>
    </xf>
    <xf numFmtId="1" fontId="180" fillId="4" borderId="91" xfId="0" applyNumberFormat="1" applyFont="1" applyFill="1" applyBorder="1" applyAlignment="1" applyProtection="1">
      <alignment horizontal="center" vertical="center"/>
      <protection hidden="1"/>
    </xf>
    <xf numFmtId="177" fontId="17" fillId="72" borderId="90" xfId="0" applyNumberFormat="1" applyFont="1" applyFill="1" applyBorder="1" applyAlignment="1" applyProtection="1">
      <alignment horizontal="center" vertical="center"/>
      <protection hidden="1"/>
    </xf>
    <xf numFmtId="177" fontId="17" fillId="4" borderId="0" xfId="0" applyNumberFormat="1" applyFont="1" applyFill="1" applyProtection="1">
      <protection hidden="1"/>
    </xf>
    <xf numFmtId="177" fontId="17" fillId="4" borderId="0" xfId="0" applyNumberFormat="1" applyFont="1" applyFill="1" applyAlignment="1" applyProtection="1">
      <alignment horizontal="center" vertical="center"/>
      <protection hidden="1"/>
    </xf>
    <xf numFmtId="177" fontId="180" fillId="4" borderId="91" xfId="0" applyNumberFormat="1" applyFont="1" applyFill="1" applyBorder="1" applyAlignment="1" applyProtection="1">
      <alignment horizontal="center" vertical="center"/>
      <protection hidden="1"/>
    </xf>
    <xf numFmtId="177" fontId="19" fillId="4" borderId="0" xfId="0" applyNumberFormat="1" applyFont="1" applyFill="1" applyAlignment="1" applyProtection="1">
      <protection hidden="1"/>
    </xf>
    <xf numFmtId="0" fontId="20" fillId="4" borderId="0" xfId="0" applyFont="1" applyFill="1" applyAlignment="1" applyProtection="1">
      <alignment horizontal="left" wrapText="1"/>
      <protection hidden="1"/>
    </xf>
    <xf numFmtId="0" fontId="180" fillId="4" borderId="0" xfId="0" applyFont="1" applyFill="1" applyBorder="1" applyAlignment="1" applyProtection="1">
      <alignment horizontal="center"/>
      <protection hidden="1"/>
    </xf>
    <xf numFmtId="0" fontId="180" fillId="4" borderId="0" xfId="0" applyFont="1" applyFill="1" applyBorder="1" applyAlignment="1" applyProtection="1">
      <alignment horizontal="center" vertical="center"/>
      <protection hidden="1"/>
    </xf>
    <xf numFmtId="2" fontId="180" fillId="4" borderId="0" xfId="0" applyNumberFormat="1" applyFont="1" applyFill="1" applyBorder="1" applyAlignment="1" applyProtection="1">
      <alignment horizontal="center" vertical="center"/>
      <protection hidden="1"/>
    </xf>
    <xf numFmtId="0" fontId="17" fillId="71" borderId="92" xfId="0" applyFont="1" applyFill="1" applyBorder="1" applyAlignment="1" applyProtection="1">
      <alignment horizontal="left" vertical="center"/>
      <protection hidden="1"/>
    </xf>
    <xf numFmtId="0" fontId="17" fillId="4" borderId="90" xfId="0" applyFont="1" applyFill="1" applyBorder="1" applyAlignment="1" applyProtection="1">
      <alignment horizontal="left" vertical="center"/>
      <protection hidden="1"/>
    </xf>
    <xf numFmtId="0" fontId="0" fillId="0" borderId="0" xfId="0" applyBorder="1"/>
    <xf numFmtId="0" fontId="19" fillId="4" borderId="0" xfId="0" applyFont="1" applyFill="1" applyBorder="1" applyAlignment="1" applyProtection="1">
      <alignment horizontal="left" vertical="center"/>
      <protection hidden="1"/>
    </xf>
    <xf numFmtId="177" fontId="17" fillId="4" borderId="0" xfId="0" applyNumberFormat="1" applyFont="1" applyFill="1" applyBorder="1" applyAlignment="1" applyProtection="1">
      <alignment horizontal="center"/>
      <protection hidden="1"/>
    </xf>
    <xf numFmtId="0" fontId="190" fillId="4" borderId="0" xfId="0" applyFont="1" applyFill="1" applyBorder="1" applyAlignment="1" applyProtection="1">
      <alignment horizontal="left" vertical="center"/>
      <protection hidden="1"/>
    </xf>
    <xf numFmtId="0" fontId="183" fillId="70" borderId="0" xfId="1" applyFont="1" applyFill="1" applyBorder="1" applyAlignment="1" applyProtection="1">
      <alignment horizontal="left" vertical="center"/>
      <protection hidden="1"/>
    </xf>
    <xf numFmtId="2" fontId="183" fillId="70" borderId="0" xfId="0" applyNumberFormat="1" applyFont="1" applyFill="1" applyBorder="1" applyAlignment="1" applyProtection="1">
      <alignment horizontal="center"/>
      <protection hidden="1"/>
    </xf>
    <xf numFmtId="9" fontId="191" fillId="70" borderId="0" xfId="88" applyFont="1" applyFill="1" applyAlignment="1" applyProtection="1">
      <alignment horizontal="center" vertical="center"/>
      <protection hidden="1"/>
    </xf>
    <xf numFmtId="2" fontId="180" fillId="4" borderId="91" xfId="0" applyNumberFormat="1" applyFont="1" applyFill="1" applyBorder="1" applyAlignment="1" applyProtection="1">
      <alignment horizontal="center" vertical="center"/>
      <protection hidden="1"/>
    </xf>
    <xf numFmtId="177" fontId="17" fillId="4" borderId="93" xfId="0" applyNumberFormat="1" applyFont="1" applyFill="1" applyBorder="1" applyAlignment="1" applyProtection="1">
      <alignment horizontal="center"/>
      <protection hidden="1"/>
    </xf>
    <xf numFmtId="177" fontId="17" fillId="72" borderId="93" xfId="0" applyNumberFormat="1" applyFont="1" applyFill="1" applyBorder="1" applyAlignment="1" applyProtection="1">
      <alignment horizontal="center" vertical="center"/>
      <protection hidden="1"/>
    </xf>
    <xf numFmtId="0" fontId="17" fillId="4" borderId="65" xfId="0" applyFont="1" applyFill="1" applyBorder="1" applyProtection="1">
      <protection hidden="1"/>
    </xf>
    <xf numFmtId="0" fontId="16" fillId="0" borderId="65" xfId="0" applyFont="1" applyFill="1" applyBorder="1" applyProtection="1">
      <protection hidden="1"/>
    </xf>
    <xf numFmtId="0" fontId="26" fillId="4" borderId="65" xfId="0" applyFont="1" applyFill="1" applyBorder="1" applyAlignment="1" applyProtection="1">
      <alignment horizontal="center"/>
      <protection hidden="1"/>
    </xf>
    <xf numFmtId="0" fontId="17" fillId="4" borderId="65" xfId="0" applyFont="1" applyFill="1" applyBorder="1" applyAlignment="1" applyProtection="1">
      <alignment horizontal="center"/>
      <protection hidden="1"/>
    </xf>
    <xf numFmtId="0" fontId="34" fillId="4" borderId="65" xfId="0" applyFont="1" applyFill="1" applyBorder="1" applyAlignment="1" applyProtection="1">
      <alignment horizontal="center"/>
      <protection hidden="1"/>
    </xf>
    <xf numFmtId="2" fontId="17" fillId="4" borderId="65" xfId="0" applyNumberFormat="1" applyFont="1" applyFill="1" applyBorder="1" applyAlignment="1" applyProtection="1">
      <alignment horizontal="center" vertical="center"/>
      <protection hidden="1"/>
    </xf>
    <xf numFmtId="2" fontId="17" fillId="4" borderId="65" xfId="0" applyNumberFormat="1" applyFont="1" applyFill="1" applyBorder="1" applyAlignment="1" applyProtection="1">
      <alignment horizontal="center"/>
      <protection hidden="1"/>
    </xf>
    <xf numFmtId="0" fontId="194" fillId="0" borderId="0" xfId="332" applyNumberFormat="1" applyFont="1" applyAlignment="1">
      <alignment horizontal="left" vertical="top" wrapText="1"/>
    </xf>
    <xf numFmtId="2" fontId="25" fillId="71" borderId="92" xfId="0" applyNumberFormat="1" applyFont="1" applyFill="1" applyBorder="1" applyAlignment="1" applyProtection="1">
      <alignment horizontal="center" vertical="center"/>
      <protection hidden="1"/>
    </xf>
    <xf numFmtId="177" fontId="163" fillId="4" borderId="0" xfId="1" applyNumberFormat="1" applyFont="1" applyFill="1" applyAlignment="1" applyProtection="1">
      <protection hidden="1"/>
    </xf>
    <xf numFmtId="177" fontId="180" fillId="72" borderId="91" xfId="88" applyNumberFormat="1" applyFont="1" applyFill="1" applyBorder="1" applyAlignment="1" applyProtection="1">
      <alignment horizontal="center" vertical="center"/>
      <protection hidden="1"/>
    </xf>
    <xf numFmtId="177" fontId="25" fillId="71" borderId="92" xfId="0" applyNumberFormat="1" applyFont="1" applyFill="1" applyBorder="1" applyAlignment="1" applyProtection="1">
      <alignment horizontal="center" vertical="center"/>
      <protection hidden="1"/>
    </xf>
    <xf numFmtId="177" fontId="25" fillId="4" borderId="90" xfId="0" applyNumberFormat="1" applyFont="1" applyFill="1" applyBorder="1" applyAlignment="1" applyProtection="1">
      <alignment horizontal="center" vertical="center"/>
      <protection hidden="1"/>
    </xf>
    <xf numFmtId="177" fontId="21" fillId="4" borderId="0" xfId="0" applyNumberFormat="1" applyFont="1" applyFill="1" applyProtection="1">
      <protection hidden="1"/>
    </xf>
    <xf numFmtId="177" fontId="73" fillId="4" borderId="0" xfId="1" applyNumberFormat="1" applyFont="1" applyFill="1" applyAlignment="1" applyProtection="1">
      <protection hidden="1"/>
    </xf>
    <xf numFmtId="2" fontId="21" fillId="4" borderId="0" xfId="0" applyNumberFormat="1" applyFont="1" applyFill="1" applyProtection="1">
      <protection hidden="1"/>
    </xf>
    <xf numFmtId="0" fontId="73" fillId="4" borderId="0" xfId="1" applyFont="1" applyFill="1" applyAlignment="1" applyProtection="1">
      <protection hidden="1"/>
    </xf>
    <xf numFmtId="177" fontId="19" fillId="4" borderId="90" xfId="0" applyNumberFormat="1" applyFont="1" applyFill="1" applyBorder="1" applyAlignment="1" applyProtection="1">
      <alignment horizontal="center" vertical="center"/>
      <protection hidden="1"/>
    </xf>
    <xf numFmtId="2" fontId="19" fillId="4" borderId="0" xfId="0" applyNumberFormat="1" applyFont="1" applyFill="1" applyProtection="1">
      <protection hidden="1"/>
    </xf>
    <xf numFmtId="2" fontId="25" fillId="4" borderId="0" xfId="0" applyNumberFormat="1" applyFont="1" applyFill="1" applyProtection="1">
      <protection hidden="1"/>
    </xf>
    <xf numFmtId="2" fontId="72" fillId="4" borderId="0" xfId="1" applyNumberFormat="1" applyFont="1" applyFill="1" applyAlignment="1" applyProtection="1">
      <protection hidden="1"/>
    </xf>
    <xf numFmtId="2" fontId="25" fillId="4" borderId="90" xfId="0" applyNumberFormat="1" applyFont="1" applyFill="1" applyBorder="1" applyAlignment="1" applyProtection="1">
      <alignment horizontal="center" vertical="center"/>
      <protection hidden="1"/>
    </xf>
    <xf numFmtId="2" fontId="19" fillId="4" borderId="0" xfId="0" applyNumberFormat="1" applyFont="1" applyFill="1" applyBorder="1" applyAlignment="1" applyProtection="1">
      <alignment horizontal="center" vertical="center"/>
      <protection hidden="1"/>
    </xf>
    <xf numFmtId="177" fontId="189" fillId="71" borderId="92" xfId="0" applyNumberFormat="1" applyFont="1" applyFill="1" applyBorder="1" applyAlignment="1" applyProtection="1">
      <alignment horizontal="center" vertical="center"/>
      <protection hidden="1"/>
    </xf>
    <xf numFmtId="2" fontId="25" fillId="4" borderId="0" xfId="0" applyNumberFormat="1" applyFont="1" applyFill="1" applyBorder="1" applyAlignment="1" applyProtection="1">
      <alignment horizontal="center" vertical="center"/>
      <protection hidden="1"/>
    </xf>
    <xf numFmtId="177" fontId="25" fillId="4" borderId="93" xfId="0" applyNumberFormat="1" applyFont="1" applyFill="1" applyBorder="1" applyAlignment="1" applyProtection="1">
      <alignment horizontal="center" vertical="center"/>
      <protection hidden="1"/>
    </xf>
    <xf numFmtId="2" fontId="25" fillId="4" borderId="65" xfId="0" applyNumberFormat="1" applyFont="1" applyFill="1" applyBorder="1" applyAlignment="1" applyProtection="1">
      <alignment horizontal="center" vertical="center"/>
      <protection hidden="1"/>
    </xf>
    <xf numFmtId="177" fontId="25" fillId="4" borderId="0" xfId="0" applyNumberFormat="1" applyFont="1" applyFill="1" applyBorder="1" applyAlignment="1" applyProtection="1">
      <alignment horizontal="center" vertical="center"/>
      <protection hidden="1"/>
    </xf>
    <xf numFmtId="0" fontId="17" fillId="4" borderId="93" xfId="0" applyFont="1" applyFill="1" applyBorder="1" applyAlignment="1" applyProtection="1">
      <alignment horizontal="left"/>
      <protection hidden="1"/>
    </xf>
    <xf numFmtId="0" fontId="17" fillId="4" borderId="93" xfId="0" applyFont="1" applyFill="1" applyBorder="1" applyAlignment="1" applyProtection="1">
      <alignment horizontal="center" vertical="center"/>
      <protection hidden="1"/>
    </xf>
    <xf numFmtId="1" fontId="17" fillId="4" borderId="93" xfId="0" applyNumberFormat="1" applyFont="1" applyFill="1" applyBorder="1" applyAlignment="1" applyProtection="1">
      <alignment horizontal="center" vertical="center"/>
      <protection hidden="1"/>
    </xf>
    <xf numFmtId="177" fontId="19" fillId="4" borderId="0" xfId="0" applyNumberFormat="1" applyFont="1" applyFill="1" applyProtection="1">
      <protection hidden="1"/>
    </xf>
    <xf numFmtId="177" fontId="19" fillId="4" borderId="0" xfId="0" applyNumberFormat="1" applyFont="1" applyFill="1" applyBorder="1" applyAlignment="1" applyProtection="1">
      <alignment horizontal="center" vertical="center"/>
      <protection hidden="1"/>
    </xf>
    <xf numFmtId="177" fontId="72" fillId="4" borderId="0" xfId="1" applyNumberFormat="1" applyFont="1" applyFill="1" applyAlignment="1" applyProtection="1">
      <protection hidden="1"/>
    </xf>
    <xf numFmtId="2" fontId="19" fillId="4" borderId="0" xfId="0" applyNumberFormat="1" applyFont="1" applyFill="1" applyBorder="1" applyProtection="1">
      <protection hidden="1"/>
    </xf>
    <xf numFmtId="177" fontId="196" fillId="4" borderId="0" xfId="1" applyNumberFormat="1" applyFont="1" applyFill="1" applyAlignment="1" applyProtection="1">
      <protection hidden="1"/>
    </xf>
    <xf numFmtId="177" fontId="189" fillId="4" borderId="90" xfId="0" applyNumberFormat="1" applyFont="1" applyFill="1" applyBorder="1" applyAlignment="1" applyProtection="1">
      <alignment horizontal="center" vertical="center"/>
      <protection hidden="1"/>
    </xf>
    <xf numFmtId="177" fontId="25" fillId="0" borderId="92" xfId="0" applyNumberFormat="1" applyFont="1" applyFill="1" applyBorder="1" applyAlignment="1" applyProtection="1">
      <alignment horizontal="center" vertical="center"/>
      <protection hidden="1"/>
    </xf>
    <xf numFmtId="0" fontId="12" fillId="73" borderId="0" xfId="1" applyFill="1" applyAlignment="1" applyProtection="1">
      <protection hidden="1"/>
    </xf>
    <xf numFmtId="0" fontId="12" fillId="70" borderId="0" xfId="1" applyFill="1" applyAlignment="1" applyProtection="1">
      <protection hidden="1"/>
    </xf>
    <xf numFmtId="177" fontId="20" fillId="0" borderId="0" xfId="0" applyNumberFormat="1" applyFont="1" applyFill="1" applyProtection="1">
      <protection hidden="1"/>
    </xf>
    <xf numFmtId="43" fontId="182" fillId="0" borderId="0" xfId="331" applyFont="1" applyFill="1" applyProtection="1">
      <protection hidden="1"/>
    </xf>
    <xf numFmtId="2" fontId="180" fillId="4" borderId="91" xfId="0" applyNumberFormat="1" applyFont="1" applyFill="1" applyBorder="1" applyAlignment="1" applyProtection="1">
      <alignment horizontal="center" vertical="center"/>
      <protection hidden="1"/>
    </xf>
    <xf numFmtId="2" fontId="180" fillId="4" borderId="91" xfId="0" applyNumberFormat="1" applyFont="1" applyFill="1" applyBorder="1" applyAlignment="1" applyProtection="1">
      <alignment horizontal="center" vertical="center"/>
      <protection hidden="1"/>
    </xf>
    <xf numFmtId="0" fontId="16" fillId="4" borderId="0" xfId="0" applyFont="1" applyFill="1" applyProtection="1">
      <protection hidden="1"/>
    </xf>
    <xf numFmtId="2" fontId="187" fillId="72" borderId="92" xfId="0" applyNumberFormat="1" applyFont="1" applyFill="1" applyBorder="1" applyAlignment="1" applyProtection="1">
      <alignment horizontal="center" vertical="center"/>
      <protection hidden="1"/>
    </xf>
    <xf numFmtId="2" fontId="187" fillId="72" borderId="90" xfId="0" applyNumberFormat="1" applyFont="1" applyFill="1" applyBorder="1" applyAlignment="1" applyProtection="1">
      <alignment horizontal="center" vertical="center"/>
      <protection hidden="1"/>
    </xf>
    <xf numFmtId="2" fontId="180" fillId="4" borderId="91" xfId="0" applyNumberFormat="1" applyFont="1" applyFill="1" applyBorder="1" applyAlignment="1" applyProtection="1">
      <alignment horizontal="center" vertical="center"/>
      <protection hidden="1"/>
    </xf>
    <xf numFmtId="0" fontId="33" fillId="4" borderId="0" xfId="0" applyFont="1" applyFill="1" applyAlignment="1" applyProtection="1">
      <alignment horizontal="left" vertical="justify"/>
      <protection hidden="1"/>
    </xf>
    <xf numFmtId="0" fontId="20" fillId="4" borderId="0" xfId="0" applyFont="1" applyFill="1" applyAlignment="1" applyProtection="1">
      <alignment horizontal="left" wrapText="1"/>
      <protection hidden="1"/>
    </xf>
    <xf numFmtId="0" fontId="33" fillId="4" borderId="0" xfId="0" applyFont="1" applyFill="1" applyAlignment="1" applyProtection="1">
      <alignment horizontal="left" vertical="justify" wrapText="1"/>
      <protection hidden="1"/>
    </xf>
    <xf numFmtId="0" fontId="25" fillId="4" borderId="0" xfId="0" applyFont="1" applyFill="1" applyAlignment="1" applyProtection="1">
      <alignment horizontal="left" vertical="justify"/>
      <protection hidden="1"/>
    </xf>
    <xf numFmtId="2" fontId="187" fillId="72" borderId="94" xfId="0" applyNumberFormat="1" applyFont="1" applyFill="1" applyBorder="1" applyAlignment="1" applyProtection="1">
      <alignment horizontal="center" vertical="center"/>
      <protection hidden="1"/>
    </xf>
    <xf numFmtId="0" fontId="20" fillId="4" borderId="0" xfId="0" applyFont="1" applyFill="1" applyAlignment="1" applyProtection="1">
      <alignment horizontal="left" vertical="center"/>
      <protection hidden="1"/>
    </xf>
    <xf numFmtId="0" fontId="20" fillId="4" borderId="0" xfId="0" applyFont="1" applyFill="1" applyAlignment="1" applyProtection="1">
      <alignment horizontal="center" wrapText="1"/>
      <protection hidden="1"/>
    </xf>
    <xf numFmtId="0" fontId="177" fillId="4" borderId="0" xfId="0" applyFont="1" applyFill="1" applyBorder="1" applyAlignment="1" applyProtection="1">
      <alignment horizontal="center"/>
      <protection hidden="1"/>
    </xf>
    <xf numFmtId="0" fontId="178" fillId="4" borderId="0" xfId="0" applyFont="1" applyFill="1" applyAlignment="1" applyProtection="1">
      <alignment horizontal="center"/>
      <protection hidden="1"/>
    </xf>
    <xf numFmtId="0" fontId="179" fillId="4" borderId="0" xfId="0" applyFont="1" applyFill="1" applyAlignment="1" applyProtection="1">
      <alignment horizontal="center"/>
      <protection hidden="1"/>
    </xf>
    <xf numFmtId="0" fontId="20" fillId="4" borderId="0" xfId="0" applyFont="1" applyFill="1" applyAlignment="1" applyProtection="1">
      <alignment horizontal="left"/>
      <protection hidden="1"/>
    </xf>
    <xf numFmtId="0" fontId="22" fillId="4" borderId="0" xfId="0" applyFont="1" applyFill="1" applyAlignment="1" applyProtection="1">
      <alignment horizontal="left" vertical="center"/>
      <protection hidden="1"/>
    </xf>
    <xf numFmtId="2" fontId="192" fillId="70" borderId="0" xfId="0" applyNumberFormat="1" applyFont="1" applyFill="1" applyBorder="1" applyAlignment="1" applyProtection="1">
      <alignment horizontal="center" vertical="center"/>
      <protection hidden="1"/>
    </xf>
    <xf numFmtId="0" fontId="188" fillId="4" borderId="0" xfId="0" applyFont="1" applyFill="1" applyBorder="1" applyAlignment="1" applyProtection="1">
      <alignment horizontal="center"/>
      <protection hidden="1"/>
    </xf>
    <xf numFmtId="0" fontId="55" fillId="4" borderId="0" xfId="0" applyFont="1" applyFill="1" applyBorder="1" applyAlignment="1" applyProtection="1">
      <alignment horizontal="center"/>
      <protection hidden="1"/>
    </xf>
    <xf numFmtId="0" fontId="33" fillId="4" borderId="0" xfId="0" applyFont="1" applyFill="1" applyAlignment="1" applyProtection="1">
      <alignment horizontal="justify" vertical="justify"/>
      <protection hidden="1"/>
    </xf>
    <xf numFmtId="0" fontId="20" fillId="4" borderId="0" xfId="0" applyFont="1" applyFill="1" applyAlignment="1" applyProtection="1">
      <alignment horizontal="left" vertical="justify"/>
      <protection hidden="1"/>
    </xf>
    <xf numFmtId="0" fontId="20" fillId="4" borderId="0" xfId="0" applyFont="1" applyFill="1" applyBorder="1" applyAlignment="1" applyProtection="1">
      <alignment horizontal="left" wrapText="1"/>
      <protection hidden="1"/>
    </xf>
    <xf numFmtId="2" fontId="189" fillId="4" borderId="91" xfId="0" applyNumberFormat="1" applyFont="1" applyFill="1" applyBorder="1" applyAlignment="1" applyProtection="1">
      <alignment horizontal="center" vertical="center"/>
      <protection hidden="1"/>
    </xf>
    <xf numFmtId="0" fontId="178" fillId="4" borderId="0" xfId="0" applyFont="1" applyFill="1" applyAlignment="1" applyProtection="1">
      <alignment horizontal="center" wrapText="1"/>
      <protection hidden="1"/>
    </xf>
    <xf numFmtId="2" fontId="187" fillId="72" borderId="58" xfId="0" applyNumberFormat="1" applyFont="1" applyFill="1" applyBorder="1" applyAlignment="1" applyProtection="1">
      <alignment horizontal="center" vertical="center"/>
      <protection hidden="1"/>
    </xf>
    <xf numFmtId="0" fontId="122" fillId="0" borderId="2" xfId="0" applyNumberFormat="1" applyFont="1" applyBorder="1" applyAlignment="1">
      <alignment horizontal="center" vertical="center"/>
    </xf>
    <xf numFmtId="0" fontId="122" fillId="0" borderId="14" xfId="0" applyNumberFormat="1" applyFont="1" applyBorder="1" applyAlignment="1">
      <alignment horizontal="center" vertical="center"/>
    </xf>
    <xf numFmtId="0" fontId="56" fillId="0" borderId="0" xfId="0" applyFont="1" applyAlignment="1" applyProtection="1">
      <alignment horizontal="center"/>
      <protection hidden="1"/>
    </xf>
    <xf numFmtId="10" fontId="21" fillId="8" borderId="20" xfId="0" applyNumberFormat="1" applyFont="1" applyFill="1" applyBorder="1" applyAlignment="1" applyProtection="1">
      <alignment horizontal="center"/>
      <protection hidden="1"/>
    </xf>
    <xf numFmtId="10" fontId="21" fillId="8" borderId="51" xfId="0" applyNumberFormat="1" applyFont="1" applyFill="1" applyBorder="1" applyAlignment="1" applyProtection="1">
      <alignment horizontal="center"/>
      <protection hidden="1"/>
    </xf>
    <xf numFmtId="10" fontId="21" fillId="7" borderId="20" xfId="0" applyNumberFormat="1" applyFont="1" applyFill="1" applyBorder="1" applyAlignment="1" applyProtection="1">
      <alignment horizontal="center"/>
      <protection hidden="1"/>
    </xf>
    <xf numFmtId="10" fontId="21" fillId="7" borderId="52" xfId="0" applyNumberFormat="1" applyFont="1" applyFill="1" applyBorder="1" applyAlignment="1" applyProtection="1">
      <alignment horizontal="center"/>
      <protection hidden="1"/>
    </xf>
    <xf numFmtId="166" fontId="59" fillId="9" borderId="20" xfId="0" applyNumberFormat="1" applyFont="1" applyFill="1" applyBorder="1" applyAlignment="1" applyProtection="1">
      <alignment horizontal="center"/>
      <protection hidden="1"/>
    </xf>
    <xf numFmtId="166" fontId="59" fillId="9" borderId="51" xfId="0" applyNumberFormat="1" applyFont="1" applyFill="1" applyBorder="1" applyAlignment="1" applyProtection="1">
      <alignment horizontal="center"/>
      <protection hidden="1"/>
    </xf>
    <xf numFmtId="166" fontId="59" fillId="9" borderId="52" xfId="0" applyNumberFormat="1" applyFont="1" applyFill="1" applyBorder="1" applyAlignment="1" applyProtection="1">
      <alignment horizontal="center"/>
      <protection hidden="1"/>
    </xf>
    <xf numFmtId="0" fontId="61" fillId="11" borderId="53" xfId="0" applyFont="1" applyFill="1" applyBorder="1" applyAlignment="1" applyProtection="1">
      <alignment horizontal="center"/>
      <protection hidden="1"/>
    </xf>
    <xf numFmtId="0" fontId="61" fillId="11" borderId="36" xfId="0" applyFont="1" applyFill="1" applyBorder="1" applyAlignment="1" applyProtection="1">
      <alignment horizontal="center"/>
      <protection hidden="1"/>
    </xf>
    <xf numFmtId="0" fontId="61" fillId="11" borderId="51" xfId="0" applyFont="1" applyFill="1" applyBorder="1" applyAlignment="1" applyProtection="1">
      <alignment horizontal="center"/>
      <protection hidden="1"/>
    </xf>
    <xf numFmtId="0" fontId="61" fillId="11" borderId="52" xfId="0" applyFont="1" applyFill="1" applyBorder="1" applyAlignment="1" applyProtection="1">
      <alignment horizontal="center"/>
      <protection hidden="1"/>
    </xf>
    <xf numFmtId="10" fontId="21" fillId="8" borderId="42" xfId="0" applyNumberFormat="1" applyFont="1" applyFill="1" applyBorder="1" applyAlignment="1" applyProtection="1">
      <alignment horizontal="center" vertical="justify"/>
      <protection hidden="1"/>
    </xf>
    <xf numFmtId="10" fontId="21" fillId="8" borderId="44" xfId="0" applyNumberFormat="1" applyFont="1" applyFill="1" applyBorder="1" applyAlignment="1" applyProtection="1">
      <alignment horizontal="center" vertical="justify"/>
      <protection hidden="1"/>
    </xf>
    <xf numFmtId="10" fontId="21" fillId="8" borderId="53" xfId="0" applyNumberFormat="1" applyFont="1" applyFill="1" applyBorder="1" applyAlignment="1" applyProtection="1">
      <alignment horizontal="center" vertical="justify"/>
      <protection hidden="1"/>
    </xf>
    <xf numFmtId="10" fontId="21" fillId="8" borderId="54" xfId="0" applyNumberFormat="1" applyFont="1" applyFill="1" applyBorder="1" applyAlignment="1" applyProtection="1">
      <alignment horizontal="center" vertical="justify"/>
      <protection hidden="1"/>
    </xf>
    <xf numFmtId="10" fontId="21" fillId="8" borderId="56" xfId="0" applyNumberFormat="1" applyFont="1" applyFill="1" applyBorder="1" applyAlignment="1" applyProtection="1">
      <alignment horizontal="center" vertical="justify"/>
      <protection hidden="1"/>
    </xf>
    <xf numFmtId="10" fontId="21" fillId="8" borderId="57" xfId="0" applyNumberFormat="1" applyFont="1" applyFill="1" applyBorder="1" applyAlignment="1" applyProtection="1">
      <alignment horizontal="center" vertical="justify"/>
      <protection hidden="1"/>
    </xf>
    <xf numFmtId="10" fontId="21" fillId="8" borderId="55" xfId="0" applyNumberFormat="1" applyFont="1" applyFill="1" applyBorder="1" applyAlignment="1" applyProtection="1">
      <alignment horizontal="center" vertical="justify"/>
      <protection hidden="1"/>
    </xf>
    <xf numFmtId="10" fontId="21" fillId="8" borderId="58" xfId="0" applyNumberFormat="1" applyFont="1" applyFill="1" applyBorder="1" applyAlignment="1" applyProtection="1">
      <alignment horizontal="center" vertical="justify"/>
      <protection hidden="1"/>
    </xf>
    <xf numFmtId="10" fontId="21" fillId="7" borderId="42" xfId="0" applyNumberFormat="1" applyFont="1" applyFill="1" applyBorder="1" applyAlignment="1" applyProtection="1">
      <alignment horizontal="center" vertical="justify"/>
      <protection hidden="1"/>
    </xf>
    <xf numFmtId="10" fontId="21" fillId="7" borderId="44" xfId="0" applyNumberFormat="1" applyFont="1" applyFill="1" applyBorder="1" applyAlignment="1" applyProtection="1">
      <alignment horizontal="center" vertical="justify"/>
      <protection hidden="1"/>
    </xf>
    <xf numFmtId="166" fontId="62" fillId="9" borderId="1" xfId="0" applyNumberFormat="1" applyFont="1" applyFill="1" applyBorder="1" applyAlignment="1" applyProtection="1">
      <alignment horizontal="center" vertical="justify"/>
      <protection hidden="1"/>
    </xf>
    <xf numFmtId="166" fontId="62" fillId="9" borderId="11" xfId="0" applyNumberFormat="1" applyFont="1" applyFill="1" applyBorder="1" applyAlignment="1" applyProtection="1">
      <alignment horizontal="center" vertical="justify"/>
      <protection hidden="1"/>
    </xf>
    <xf numFmtId="0" fontId="25" fillId="8" borderId="28" xfId="0" applyFont="1" applyFill="1" applyBorder="1" applyAlignment="1" applyProtection="1">
      <alignment horizontal="center" vertical="center"/>
      <protection hidden="1"/>
    </xf>
    <xf numFmtId="0" fontId="25" fillId="8" borderId="17" xfId="0" applyFont="1" applyFill="1" applyBorder="1" applyAlignment="1" applyProtection="1">
      <alignment horizontal="center" vertical="center"/>
      <protection hidden="1"/>
    </xf>
    <xf numFmtId="1" fontId="25" fillId="8" borderId="10" xfId="0" applyNumberFormat="1" applyFont="1" applyFill="1" applyBorder="1" applyAlignment="1" applyProtection="1">
      <alignment horizontal="center" vertical="justify"/>
      <protection hidden="1"/>
    </xf>
    <xf numFmtId="1" fontId="25" fillId="8" borderId="23" xfId="0" applyNumberFormat="1" applyFont="1" applyFill="1" applyBorder="1" applyAlignment="1" applyProtection="1">
      <alignment horizontal="center" vertical="justify"/>
      <protection hidden="1"/>
    </xf>
    <xf numFmtId="166" fontId="62" fillId="9" borderId="2" xfId="0" applyNumberFormat="1" applyFont="1" applyFill="1" applyBorder="1" applyAlignment="1" applyProtection="1">
      <alignment horizontal="center" vertical="justify"/>
      <protection hidden="1"/>
    </xf>
    <xf numFmtId="166" fontId="62" fillId="9" borderId="14" xfId="0" applyNumberFormat="1" applyFont="1" applyFill="1" applyBorder="1" applyAlignment="1" applyProtection="1">
      <alignment horizontal="center" vertical="justify"/>
      <protection hidden="1"/>
    </xf>
    <xf numFmtId="166" fontId="62" fillId="9" borderId="24" xfId="0" applyNumberFormat="1" applyFont="1" applyFill="1" applyBorder="1" applyAlignment="1" applyProtection="1">
      <alignment horizontal="center" vertical="justify"/>
      <protection hidden="1"/>
    </xf>
    <xf numFmtId="166" fontId="62" fillId="9" borderId="48" xfId="0" applyNumberFormat="1" applyFont="1" applyFill="1" applyBorder="1" applyAlignment="1" applyProtection="1">
      <alignment horizontal="center" vertical="justify"/>
      <protection hidden="1"/>
    </xf>
    <xf numFmtId="10" fontId="21" fillId="8" borderId="59" xfId="0" applyNumberFormat="1" applyFont="1" applyFill="1" applyBorder="1" applyAlignment="1" applyProtection="1">
      <alignment horizontal="center" vertical="justify"/>
      <protection hidden="1"/>
    </xf>
    <xf numFmtId="0" fontId="12" fillId="5" borderId="55" xfId="1" applyFill="1" applyBorder="1" applyAlignment="1" applyProtection="1">
      <alignment horizontal="center"/>
      <protection hidden="1"/>
    </xf>
    <xf numFmtId="0" fontId="12" fillId="5" borderId="60" xfId="1" applyFill="1" applyBorder="1" applyAlignment="1" applyProtection="1">
      <alignment horizontal="center"/>
      <protection hidden="1"/>
    </xf>
    <xf numFmtId="10" fontId="25" fillId="5" borderId="3" xfId="0" applyNumberFormat="1" applyFont="1" applyFill="1" applyBorder="1" applyAlignment="1" applyProtection="1">
      <alignment horizontal="center"/>
      <protection hidden="1"/>
    </xf>
    <xf numFmtId="10" fontId="25" fillId="5" borderId="39" xfId="0" applyNumberFormat="1" applyFont="1" applyFill="1" applyBorder="1" applyAlignment="1" applyProtection="1">
      <alignment horizontal="center"/>
      <protection hidden="1"/>
    </xf>
    <xf numFmtId="1" fontId="52" fillId="13" borderId="3" xfId="0" applyNumberFormat="1" applyFont="1" applyFill="1" applyBorder="1" applyAlignment="1" applyProtection="1">
      <alignment horizontal="center" vertical="center"/>
      <protection hidden="1"/>
    </xf>
    <xf numFmtId="1" fontId="52" fillId="13" borderId="47" xfId="0" applyNumberFormat="1" applyFont="1" applyFill="1" applyBorder="1" applyAlignment="1" applyProtection="1">
      <alignment horizontal="center" vertical="center"/>
      <protection hidden="1"/>
    </xf>
    <xf numFmtId="10" fontId="52" fillId="13" borderId="62" xfId="0" applyNumberFormat="1" applyFont="1" applyFill="1" applyBorder="1" applyAlignment="1" applyProtection="1">
      <alignment horizontal="center" vertical="center"/>
      <protection hidden="1"/>
    </xf>
    <xf numFmtId="10" fontId="52" fillId="13" borderId="65" xfId="0" applyNumberFormat="1" applyFont="1" applyFill="1" applyBorder="1" applyAlignment="1" applyProtection="1">
      <alignment horizontal="center" vertical="center"/>
      <protection hidden="1"/>
    </xf>
    <xf numFmtId="0" fontId="12" fillId="4" borderId="58" xfId="1" applyFill="1" applyBorder="1" applyAlignment="1" applyProtection="1">
      <alignment horizontal="center"/>
      <protection hidden="1"/>
    </xf>
    <xf numFmtId="0" fontId="12" fillId="4" borderId="63" xfId="1" applyFill="1" applyBorder="1" applyAlignment="1" applyProtection="1">
      <alignment horizontal="center"/>
      <protection hidden="1"/>
    </xf>
    <xf numFmtId="10" fontId="25" fillId="4" borderId="5" xfId="0" applyNumberFormat="1" applyFont="1" applyFill="1" applyBorder="1" applyAlignment="1" applyProtection="1">
      <alignment horizontal="center"/>
      <protection hidden="1"/>
    </xf>
    <xf numFmtId="10" fontId="25" fillId="4" borderId="37" xfId="0" applyNumberFormat="1" applyFont="1" applyFill="1" applyBorder="1" applyAlignment="1" applyProtection="1">
      <alignment horizontal="center"/>
      <protection hidden="1"/>
    </xf>
    <xf numFmtId="1" fontId="52" fillId="13" borderId="5" xfId="0" applyNumberFormat="1" applyFont="1" applyFill="1" applyBorder="1" applyAlignment="1" applyProtection="1">
      <alignment horizontal="center" vertical="center"/>
      <protection hidden="1"/>
    </xf>
    <xf numFmtId="1" fontId="52" fillId="13" borderId="34" xfId="0" applyNumberFormat="1" applyFont="1" applyFill="1" applyBorder="1" applyAlignment="1" applyProtection="1">
      <alignment horizontal="center" vertical="center"/>
      <protection hidden="1"/>
    </xf>
    <xf numFmtId="0" fontId="19" fillId="0" borderId="53" xfId="0" applyFont="1" applyBorder="1" applyAlignment="1" applyProtection="1">
      <alignment horizontal="justify" vertical="justify"/>
      <protection hidden="1"/>
    </xf>
    <xf numFmtId="0" fontId="19" fillId="0" borderId="67" xfId="0" applyFont="1" applyBorder="1" applyAlignment="1" applyProtection="1">
      <alignment horizontal="justify" vertical="justify"/>
      <protection hidden="1"/>
    </xf>
    <xf numFmtId="1" fontId="52" fillId="4" borderId="66" xfId="0" applyNumberFormat="1" applyFont="1" applyFill="1" applyBorder="1" applyAlignment="1" applyProtection="1">
      <alignment horizontal="center"/>
      <protection hidden="1"/>
    </xf>
    <xf numFmtId="1" fontId="52" fillId="4" borderId="63" xfId="0" applyNumberFormat="1" applyFont="1" applyFill="1" applyBorder="1" applyAlignment="1" applyProtection="1">
      <alignment horizontal="center"/>
      <protection hidden="1"/>
    </xf>
    <xf numFmtId="0" fontId="12" fillId="5" borderId="58" xfId="1" applyFill="1" applyBorder="1" applyAlignment="1" applyProtection="1">
      <alignment horizontal="center" vertical="justify"/>
      <protection hidden="1"/>
    </xf>
    <xf numFmtId="0" fontId="12" fillId="5" borderId="63" xfId="1" applyFill="1" applyBorder="1" applyAlignment="1" applyProtection="1">
      <alignment horizontal="center" vertical="justify"/>
      <protection hidden="1"/>
    </xf>
    <xf numFmtId="10" fontId="25" fillId="5" borderId="5" xfId="0" applyNumberFormat="1" applyFont="1" applyFill="1" applyBorder="1" applyAlignment="1" applyProtection="1">
      <alignment horizontal="center"/>
      <protection hidden="1"/>
    </xf>
    <xf numFmtId="10" fontId="25" fillId="5" borderId="37" xfId="0" applyNumberFormat="1" applyFont="1" applyFill="1" applyBorder="1" applyAlignment="1" applyProtection="1">
      <alignment horizontal="center"/>
      <protection hidden="1"/>
    </xf>
    <xf numFmtId="10" fontId="52" fillId="4" borderId="68" xfId="0" applyNumberFormat="1" applyFont="1" applyFill="1" applyBorder="1" applyAlignment="1" applyProtection="1">
      <alignment horizontal="center" vertical="center"/>
      <protection hidden="1"/>
    </xf>
    <xf numFmtId="10" fontId="52" fillId="4" borderId="64" xfId="0" applyNumberFormat="1" applyFont="1" applyFill="1" applyBorder="1" applyAlignment="1" applyProtection="1">
      <alignment horizontal="center" vertical="center"/>
      <protection hidden="1"/>
    </xf>
    <xf numFmtId="0" fontId="12" fillId="4" borderId="58" xfId="1" applyFill="1" applyBorder="1" applyAlignment="1" applyProtection="1">
      <alignment horizontal="center" vertical="justify"/>
      <protection hidden="1"/>
    </xf>
    <xf numFmtId="0" fontId="12" fillId="4" borderId="63" xfId="1" applyFill="1" applyBorder="1" applyAlignment="1" applyProtection="1">
      <alignment horizontal="center" vertical="justify"/>
      <protection hidden="1"/>
    </xf>
    <xf numFmtId="10" fontId="52" fillId="4" borderId="62" xfId="0" applyNumberFormat="1" applyFont="1" applyFill="1" applyBorder="1" applyAlignment="1" applyProtection="1">
      <alignment horizontal="center" vertical="center"/>
      <protection hidden="1"/>
    </xf>
    <xf numFmtId="10" fontId="52" fillId="4" borderId="65" xfId="0" applyNumberFormat="1" applyFont="1" applyFill="1" applyBorder="1" applyAlignment="1" applyProtection="1">
      <alignment horizontal="center" vertical="center"/>
      <protection hidden="1"/>
    </xf>
    <xf numFmtId="0" fontId="12" fillId="21" borderId="58" xfId="1" applyFill="1" applyBorder="1" applyAlignment="1" applyProtection="1">
      <alignment horizontal="center"/>
      <protection hidden="1"/>
    </xf>
    <xf numFmtId="0" fontId="12" fillId="21" borderId="63" xfId="1" applyFill="1" applyBorder="1" applyAlignment="1" applyProtection="1">
      <alignment horizontal="center"/>
      <protection hidden="1"/>
    </xf>
    <xf numFmtId="10" fontId="25" fillId="21" borderId="5" xfId="0" applyNumberFormat="1" applyFont="1" applyFill="1" applyBorder="1" applyAlignment="1" applyProtection="1">
      <alignment horizontal="center"/>
      <protection hidden="1"/>
    </xf>
    <xf numFmtId="10" fontId="25" fillId="21" borderId="37" xfId="0" applyNumberFormat="1" applyFont="1" applyFill="1" applyBorder="1" applyAlignment="1" applyProtection="1">
      <alignment horizontal="center"/>
      <protection hidden="1"/>
    </xf>
    <xf numFmtId="0" fontId="12" fillId="5" borderId="58" xfId="1" applyFill="1" applyBorder="1" applyAlignment="1" applyProtection="1">
      <alignment horizontal="center"/>
      <protection hidden="1"/>
    </xf>
    <xf numFmtId="0" fontId="12" fillId="5" borderId="63" xfId="1" applyFill="1" applyBorder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wrapText="1"/>
      <protection hidden="1"/>
    </xf>
    <xf numFmtId="0" fontId="74" fillId="7" borderId="53" xfId="0" applyFont="1" applyFill="1" applyBorder="1" applyAlignment="1" applyProtection="1">
      <alignment horizontal="center"/>
      <protection hidden="1"/>
    </xf>
    <xf numFmtId="0" fontId="63" fillId="7" borderId="36" xfId="0" applyFont="1" applyFill="1" applyBorder="1" applyAlignment="1" applyProtection="1">
      <alignment horizontal="center"/>
      <protection hidden="1"/>
    </xf>
    <xf numFmtId="0" fontId="63" fillId="7" borderId="54" xfId="0" applyFont="1" applyFill="1" applyBorder="1" applyAlignment="1" applyProtection="1">
      <alignment horizontal="center"/>
      <protection hidden="1"/>
    </xf>
    <xf numFmtId="0" fontId="63" fillId="7" borderId="56" xfId="0" applyFont="1" applyFill="1" applyBorder="1" applyAlignment="1" applyProtection="1">
      <alignment horizontal="center"/>
      <protection hidden="1"/>
    </xf>
    <xf numFmtId="0" fontId="63" fillId="7" borderId="0" xfId="0" applyFont="1" applyFill="1" applyBorder="1" applyAlignment="1" applyProtection="1">
      <alignment horizontal="center"/>
      <protection hidden="1"/>
    </xf>
    <xf numFmtId="0" fontId="63" fillId="7" borderId="57" xfId="0" applyFont="1" applyFill="1" applyBorder="1" applyAlignment="1" applyProtection="1">
      <alignment horizontal="center"/>
      <protection hidden="1"/>
    </xf>
    <xf numFmtId="0" fontId="57" fillId="6" borderId="42" xfId="0" applyFont="1" applyFill="1" applyBorder="1" applyAlignment="1" applyProtection="1">
      <alignment horizontal="center" vertical="justify"/>
      <protection hidden="1"/>
    </xf>
    <xf numFmtId="0" fontId="57" fillId="6" borderId="43" xfId="0" applyFont="1" applyFill="1" applyBorder="1" applyAlignment="1" applyProtection="1">
      <alignment horizontal="center" vertical="justify"/>
      <protection hidden="1"/>
    </xf>
    <xf numFmtId="0" fontId="57" fillId="6" borderId="44" xfId="0" applyFont="1" applyFill="1" applyBorder="1" applyAlignment="1" applyProtection="1">
      <alignment horizontal="center" vertical="justify"/>
      <protection hidden="1"/>
    </xf>
    <xf numFmtId="166" fontId="76" fillId="6" borderId="20" xfId="0" applyNumberFormat="1" applyFont="1" applyFill="1" applyBorder="1" applyAlignment="1" applyProtection="1">
      <alignment horizontal="center"/>
      <protection hidden="1"/>
    </xf>
    <xf numFmtId="166" fontId="76" fillId="6" borderId="51" xfId="0" applyNumberFormat="1" applyFont="1" applyFill="1" applyBorder="1" applyAlignment="1" applyProtection="1">
      <alignment horizontal="center"/>
      <protection hidden="1"/>
    </xf>
    <xf numFmtId="166" fontId="76" fillId="6" borderId="52" xfId="0" applyNumberFormat="1" applyFont="1" applyFill="1" applyBorder="1" applyAlignment="1" applyProtection="1">
      <alignment horizontal="center"/>
      <protection hidden="1"/>
    </xf>
    <xf numFmtId="0" fontId="29" fillId="0" borderId="20" xfId="0" applyFont="1" applyBorder="1" applyAlignment="1" applyProtection="1">
      <alignment horizontal="center"/>
      <protection hidden="1"/>
    </xf>
    <xf numFmtId="0" fontId="29" fillId="0" borderId="51" xfId="0" applyFont="1" applyBorder="1" applyAlignment="1" applyProtection="1">
      <alignment horizontal="center"/>
      <protection hidden="1"/>
    </xf>
    <xf numFmtId="0" fontId="29" fillId="0" borderId="52" xfId="0" applyFont="1" applyBorder="1" applyAlignment="1" applyProtection="1">
      <alignment horizontal="center"/>
      <protection hidden="1"/>
    </xf>
    <xf numFmtId="0" fontId="12" fillId="5" borderId="69" xfId="1" applyFill="1" applyBorder="1" applyAlignment="1" applyProtection="1">
      <alignment horizontal="center"/>
      <protection hidden="1"/>
    </xf>
    <xf numFmtId="0" fontId="12" fillId="5" borderId="70" xfId="1" applyFill="1" applyBorder="1" applyAlignment="1" applyProtection="1">
      <alignment horizontal="center"/>
      <protection hidden="1"/>
    </xf>
    <xf numFmtId="10" fontId="25" fillId="5" borderId="7" xfId="0" applyNumberFormat="1" applyFont="1" applyFill="1" applyBorder="1" applyAlignment="1" applyProtection="1">
      <alignment horizontal="center"/>
      <protection hidden="1"/>
    </xf>
    <xf numFmtId="10" fontId="25" fillId="5" borderId="38" xfId="0" applyNumberFormat="1" applyFont="1" applyFill="1" applyBorder="1" applyAlignment="1" applyProtection="1">
      <alignment horizontal="center"/>
      <protection hidden="1"/>
    </xf>
    <xf numFmtId="0" fontId="69" fillId="11" borderId="0" xfId="0" applyFont="1" applyFill="1" applyAlignment="1" applyProtection="1">
      <alignment horizontal="center" vertical="justify"/>
      <protection hidden="1"/>
    </xf>
    <xf numFmtId="0" fontId="52" fillId="8" borderId="67" xfId="0" applyFont="1" applyFill="1" applyBorder="1" applyAlignment="1" applyProtection="1">
      <alignment horizontal="center"/>
      <protection hidden="1"/>
    </xf>
    <xf numFmtId="0" fontId="52" fillId="8" borderId="40" xfId="0" applyFont="1" applyFill="1" applyBorder="1" applyAlignment="1" applyProtection="1">
      <alignment horizontal="center"/>
      <protection hidden="1"/>
    </xf>
    <xf numFmtId="0" fontId="52" fillId="8" borderId="59" xfId="0" applyFont="1" applyFill="1" applyBorder="1" applyAlignment="1" applyProtection="1">
      <alignment horizontal="center"/>
      <protection hidden="1"/>
    </xf>
    <xf numFmtId="10" fontId="35" fillId="8" borderId="20" xfId="0" applyNumberFormat="1" applyFont="1" applyFill="1" applyBorder="1" applyAlignment="1" applyProtection="1">
      <alignment horizontal="center"/>
      <protection hidden="1"/>
    </xf>
    <xf numFmtId="10" fontId="35" fillId="8" borderId="51" xfId="0" applyNumberFormat="1" applyFont="1" applyFill="1" applyBorder="1" applyAlignment="1" applyProtection="1">
      <alignment horizontal="center"/>
      <protection hidden="1"/>
    </xf>
    <xf numFmtId="1" fontId="70" fillId="8" borderId="67" xfId="0" applyNumberFormat="1" applyFont="1" applyFill="1" applyBorder="1" applyAlignment="1" applyProtection="1">
      <alignment horizontal="center"/>
      <protection hidden="1"/>
    </xf>
    <xf numFmtId="1" fontId="70" fillId="8" borderId="59" xfId="0" applyNumberFormat="1" applyFont="1" applyFill="1" applyBorder="1" applyAlignment="1" applyProtection="1">
      <alignment horizontal="center"/>
      <protection hidden="1"/>
    </xf>
    <xf numFmtId="0" fontId="16" fillId="0" borderId="40" xfId="0" applyFont="1" applyBorder="1" applyAlignment="1" applyProtection="1">
      <alignment horizontal="center"/>
      <protection hidden="1"/>
    </xf>
    <xf numFmtId="0" fontId="29" fillId="22" borderId="40" xfId="0" applyFont="1" applyFill="1" applyBorder="1" applyAlignment="1" applyProtection="1">
      <alignment horizontal="center"/>
      <protection hidden="1"/>
    </xf>
    <xf numFmtId="0" fontId="55" fillId="0" borderId="0" xfId="0" applyFont="1" applyBorder="1" applyAlignment="1" applyProtection="1">
      <alignment horizontal="center"/>
      <protection hidden="1"/>
    </xf>
    <xf numFmtId="0" fontId="29" fillId="22" borderId="0" xfId="0" applyFont="1" applyFill="1" applyBorder="1" applyAlignment="1" applyProtection="1">
      <alignment horizontal="center"/>
      <protection hidden="1"/>
    </xf>
    <xf numFmtId="10" fontId="16" fillId="0" borderId="20" xfId="0" applyNumberFormat="1" applyFont="1" applyBorder="1" applyAlignment="1" applyProtection="1">
      <alignment horizontal="center"/>
      <protection hidden="1"/>
    </xf>
    <xf numFmtId="10" fontId="16" fillId="0" borderId="51" xfId="0" applyNumberFormat="1" applyFont="1" applyBorder="1" applyAlignment="1" applyProtection="1">
      <alignment horizontal="center"/>
      <protection hidden="1"/>
    </xf>
    <xf numFmtId="10" fontId="16" fillId="0" borderId="52" xfId="0" applyNumberFormat="1" applyFont="1" applyBorder="1" applyAlignment="1" applyProtection="1">
      <alignment horizontal="center"/>
      <protection hidden="1"/>
    </xf>
    <xf numFmtId="0" fontId="16" fillId="0" borderId="0" xfId="0" applyFont="1" applyBorder="1" applyAlignment="1" applyProtection="1">
      <alignment horizontal="center"/>
      <protection hidden="1"/>
    </xf>
    <xf numFmtId="1" fontId="64" fillId="19" borderId="0" xfId="0" applyNumberFormat="1" applyFont="1" applyFill="1" applyAlignment="1" applyProtection="1">
      <alignment horizontal="center"/>
      <protection hidden="1"/>
    </xf>
    <xf numFmtId="166" fontId="81" fillId="21" borderId="20" xfId="0" applyNumberFormat="1" applyFont="1" applyFill="1" applyBorder="1" applyAlignment="1" applyProtection="1">
      <alignment horizontal="center" vertical="center"/>
      <protection hidden="1"/>
    </xf>
    <xf numFmtId="166" fontId="81" fillId="21" borderId="51" xfId="0" applyNumberFormat="1" applyFont="1" applyFill="1" applyBorder="1" applyAlignment="1" applyProtection="1">
      <alignment horizontal="center" vertical="center"/>
      <protection hidden="1"/>
    </xf>
    <xf numFmtId="166" fontId="81" fillId="21" borderId="52" xfId="0" applyNumberFormat="1" applyFont="1" applyFill="1" applyBorder="1" applyAlignment="1" applyProtection="1">
      <alignment horizontal="center" vertical="center"/>
      <protection hidden="1"/>
    </xf>
    <xf numFmtId="10" fontId="16" fillId="0" borderId="36" xfId="0" applyNumberFormat="1" applyFont="1" applyBorder="1" applyAlignment="1" applyProtection="1">
      <alignment horizontal="center"/>
      <protection hidden="1"/>
    </xf>
    <xf numFmtId="10" fontId="16" fillId="0" borderId="54" xfId="0" applyNumberFormat="1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left" wrapText="1"/>
      <protection hidden="1"/>
    </xf>
    <xf numFmtId="0" fontId="28" fillId="21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40" fillId="0" borderId="0" xfId="1" applyFont="1" applyAlignment="1" applyProtection="1">
      <alignment horizontal="left"/>
      <protection hidden="1"/>
    </xf>
    <xf numFmtId="10" fontId="29" fillId="26" borderId="37" xfId="0" applyNumberFormat="1" applyFont="1" applyFill="1" applyBorder="1" applyAlignment="1" applyProtection="1">
      <alignment horizontal="center"/>
      <protection hidden="1"/>
    </xf>
    <xf numFmtId="10" fontId="29" fillId="26" borderId="58" xfId="0" applyNumberFormat="1" applyFont="1" applyFill="1" applyBorder="1" applyAlignment="1" applyProtection="1">
      <alignment horizontal="center"/>
      <protection hidden="1"/>
    </xf>
    <xf numFmtId="10" fontId="29" fillId="26" borderId="26" xfId="0" applyNumberFormat="1" applyFont="1" applyFill="1" applyBorder="1" applyAlignment="1" applyProtection="1">
      <alignment horizontal="center"/>
      <protection hidden="1"/>
    </xf>
    <xf numFmtId="10" fontId="20" fillId="19" borderId="0" xfId="0" applyNumberFormat="1" applyFont="1" applyFill="1" applyAlignment="1" applyProtection="1">
      <alignment horizontal="center"/>
      <protection hidden="1"/>
    </xf>
    <xf numFmtId="166" fontId="81" fillId="21" borderId="36" xfId="0" applyNumberFormat="1" applyFont="1" applyFill="1" applyBorder="1" applyAlignment="1" applyProtection="1">
      <alignment horizontal="center" vertical="center"/>
      <protection hidden="1"/>
    </xf>
    <xf numFmtId="166" fontId="81" fillId="21" borderId="0" xfId="0" applyNumberFormat="1" applyFont="1" applyFill="1" applyBorder="1" applyAlignment="1" applyProtection="1">
      <alignment horizontal="center" vertical="center"/>
      <protection hidden="1"/>
    </xf>
    <xf numFmtId="10" fontId="21" fillId="19" borderId="0" xfId="0" applyNumberFormat="1" applyFont="1" applyFill="1" applyAlignment="1" applyProtection="1">
      <alignment horizontal="center"/>
      <protection hidden="1"/>
    </xf>
    <xf numFmtId="0" fontId="19" fillId="0" borderId="0" xfId="0" applyFont="1" applyBorder="1" applyAlignment="1" applyProtection="1">
      <alignment horizontal="center" vertical="center"/>
      <protection hidden="1"/>
    </xf>
    <xf numFmtId="10" fontId="29" fillId="4" borderId="20" xfId="0" applyNumberFormat="1" applyFont="1" applyFill="1" applyBorder="1" applyAlignment="1" applyProtection="1">
      <alignment horizontal="center"/>
      <protection hidden="1"/>
    </xf>
    <xf numFmtId="10" fontId="29" fillId="4" borderId="51" xfId="0" applyNumberFormat="1" applyFont="1" applyFill="1" applyBorder="1" applyAlignment="1" applyProtection="1">
      <alignment horizontal="center"/>
      <protection hidden="1"/>
    </xf>
    <xf numFmtId="10" fontId="29" fillId="4" borderId="52" xfId="0" applyNumberFormat="1" applyFont="1" applyFill="1" applyBorder="1" applyAlignment="1" applyProtection="1">
      <alignment horizontal="center"/>
      <protection hidden="1"/>
    </xf>
    <xf numFmtId="10" fontId="20" fillId="19" borderId="20" xfId="0" applyNumberFormat="1" applyFont="1" applyFill="1" applyBorder="1" applyAlignment="1" applyProtection="1">
      <alignment horizontal="center"/>
      <protection hidden="1"/>
    </xf>
    <xf numFmtId="10" fontId="20" fillId="19" borderId="51" xfId="0" applyNumberFormat="1" applyFont="1" applyFill="1" applyBorder="1" applyAlignment="1" applyProtection="1">
      <alignment horizontal="center"/>
      <protection hidden="1"/>
    </xf>
    <xf numFmtId="10" fontId="20" fillId="19" borderId="52" xfId="0" applyNumberFormat="1" applyFont="1" applyFill="1" applyBorder="1" applyAlignment="1" applyProtection="1">
      <alignment horizontal="center"/>
      <protection hidden="1"/>
    </xf>
    <xf numFmtId="0" fontId="64" fillId="21" borderId="0" xfId="0" applyFont="1" applyFill="1" applyAlignment="1" applyProtection="1">
      <alignment horizontal="center"/>
      <protection hidden="1"/>
    </xf>
    <xf numFmtId="0" fontId="70" fillId="19" borderId="0" xfId="0" applyNumberFormat="1" applyFont="1" applyFill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 wrapText="1"/>
      <protection hidden="1"/>
    </xf>
    <xf numFmtId="0" fontId="58" fillId="25" borderId="37" xfId="0" applyFont="1" applyFill="1" applyBorder="1" applyAlignment="1" applyProtection="1">
      <alignment horizontal="center" vertical="justify"/>
      <protection hidden="1"/>
    </xf>
    <xf numFmtId="0" fontId="58" fillId="25" borderId="58" xfId="0" applyFont="1" applyFill="1" applyBorder="1" applyAlignment="1" applyProtection="1">
      <alignment horizontal="center" vertical="justify"/>
      <protection hidden="1"/>
    </xf>
    <xf numFmtId="0" fontId="58" fillId="25" borderId="26" xfId="0" applyFont="1" applyFill="1" applyBorder="1" applyAlignment="1" applyProtection="1">
      <alignment horizontal="center" vertical="justify"/>
      <protection hidden="1"/>
    </xf>
    <xf numFmtId="2" fontId="80" fillId="0" borderId="0" xfId="0" applyNumberFormat="1" applyFont="1" applyBorder="1" applyAlignment="1" applyProtection="1">
      <alignment horizontal="center" vertical="justify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center"/>
      <protection hidden="1"/>
    </xf>
    <xf numFmtId="166" fontId="81" fillId="21" borderId="53" xfId="0" applyNumberFormat="1" applyFont="1" applyFill="1" applyBorder="1" applyAlignment="1" applyProtection="1">
      <alignment horizontal="center" vertical="center"/>
      <protection hidden="1"/>
    </xf>
    <xf numFmtId="166" fontId="81" fillId="21" borderId="27" xfId="0" applyNumberFormat="1" applyFont="1" applyFill="1" applyBorder="1" applyAlignment="1" applyProtection="1">
      <alignment horizontal="center" vertical="center"/>
      <protection hidden="1"/>
    </xf>
    <xf numFmtId="166" fontId="81" fillId="0" borderId="0" xfId="0" applyNumberFormat="1" applyFont="1" applyFill="1" applyBorder="1" applyAlignment="1" applyProtection="1">
      <alignment horizontal="center" vertical="center"/>
      <protection hidden="1"/>
    </xf>
    <xf numFmtId="10" fontId="21" fillId="19" borderId="65" xfId="0" applyNumberFormat="1" applyFont="1" applyFill="1" applyBorder="1" applyAlignment="1" applyProtection="1">
      <alignment horizontal="center"/>
      <protection hidden="1"/>
    </xf>
    <xf numFmtId="10" fontId="21" fillId="19" borderId="55" xfId="0" applyNumberFormat="1" applyFont="1" applyFill="1" applyBorder="1" applyAlignment="1" applyProtection="1">
      <alignment horizontal="center"/>
      <protection hidden="1"/>
    </xf>
    <xf numFmtId="0" fontId="45" fillId="0" borderId="0" xfId="0" applyFont="1" applyBorder="1" applyAlignment="1" applyProtection="1">
      <alignment horizontal="center"/>
      <protection hidden="1"/>
    </xf>
    <xf numFmtId="0" fontId="33" fillId="0" borderId="0" xfId="0" applyFont="1" applyAlignment="1" applyProtection="1">
      <alignment horizontal="justify" vertical="justify"/>
      <protection hidden="1"/>
    </xf>
    <xf numFmtId="0" fontId="17" fillId="0" borderId="0" xfId="0" applyFont="1" applyAlignment="1" applyProtection="1">
      <alignment horizontal="left" vertical="justify"/>
      <protection hidden="1"/>
    </xf>
    <xf numFmtId="0" fontId="21" fillId="0" borderId="20" xfId="0" applyNumberFormat="1" applyFont="1" applyFill="1" applyBorder="1" applyAlignment="1" applyProtection="1">
      <alignment horizontal="center"/>
      <protection hidden="1"/>
    </xf>
    <xf numFmtId="0" fontId="21" fillId="0" borderId="51" xfId="0" applyNumberFormat="1" applyFont="1" applyFill="1" applyBorder="1" applyAlignment="1" applyProtection="1">
      <alignment horizontal="center"/>
      <protection hidden="1"/>
    </xf>
    <xf numFmtId="0" fontId="21" fillId="0" borderId="52" xfId="0" applyNumberFormat="1" applyFont="1" applyFill="1" applyBorder="1" applyAlignment="1" applyProtection="1">
      <alignment horizontal="center"/>
      <protection hidden="1"/>
    </xf>
    <xf numFmtId="0" fontId="33" fillId="0" borderId="0" xfId="0" applyFont="1" applyAlignment="1" applyProtection="1">
      <alignment horizontal="left" vertical="justify"/>
      <protection hidden="1"/>
    </xf>
    <xf numFmtId="0" fontId="32" fillId="0" borderId="0" xfId="0" applyFont="1" applyAlignment="1" applyProtection="1">
      <alignment horizontal="center" vertical="justify"/>
      <protection hidden="1"/>
    </xf>
    <xf numFmtId="0" fontId="48" fillId="0" borderId="40" xfId="0" applyFont="1" applyBorder="1" applyAlignment="1" applyProtection="1">
      <alignment horizontal="left"/>
      <protection hidden="1"/>
    </xf>
    <xf numFmtId="0" fontId="3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 vertical="justify"/>
      <protection hidden="1"/>
    </xf>
    <xf numFmtId="1" fontId="20" fillId="19" borderId="0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9" fillId="0" borderId="40" xfId="0" applyFont="1" applyBorder="1" applyAlignment="1" applyProtection="1">
      <alignment horizontal="center"/>
      <protection hidden="1"/>
    </xf>
    <xf numFmtId="0" fontId="19" fillId="0" borderId="0" xfId="0" applyFont="1" applyBorder="1" applyAlignment="1" applyProtection="1">
      <alignment horizontal="center"/>
      <protection hidden="1"/>
    </xf>
    <xf numFmtId="1" fontId="96" fillId="0" borderId="40" xfId="0" applyNumberFormat="1" applyFont="1" applyBorder="1" applyAlignment="1" applyProtection="1">
      <alignment horizontal="center"/>
      <protection hidden="1"/>
    </xf>
    <xf numFmtId="0" fontId="25" fillId="0" borderId="40" xfId="0" applyFont="1" applyBorder="1" applyAlignment="1" applyProtection="1">
      <alignment horizontal="center"/>
      <protection hidden="1"/>
    </xf>
    <xf numFmtId="0" fontId="58" fillId="25" borderId="20" xfId="0" applyFont="1" applyFill="1" applyBorder="1" applyAlignment="1" applyProtection="1">
      <alignment horizontal="center" vertical="justify"/>
      <protection hidden="1"/>
    </xf>
    <xf numFmtId="0" fontId="58" fillId="25" borderId="51" xfId="0" applyFont="1" applyFill="1" applyBorder="1" applyAlignment="1" applyProtection="1">
      <alignment horizontal="center" vertical="justify"/>
      <protection hidden="1"/>
    </xf>
    <xf numFmtId="0" fontId="58" fillId="25" borderId="25" xfId="0" applyFont="1" applyFill="1" applyBorder="1" applyAlignment="1" applyProtection="1">
      <alignment horizontal="center" vertical="justify"/>
      <protection hidden="1"/>
    </xf>
    <xf numFmtId="0" fontId="117" fillId="21" borderId="36" xfId="0" applyFont="1" applyFill="1" applyBorder="1" applyAlignment="1" applyProtection="1">
      <alignment horizontal="center"/>
      <protection hidden="1"/>
    </xf>
    <xf numFmtId="166" fontId="116" fillId="21" borderId="20" xfId="0" applyNumberFormat="1" applyFont="1" applyFill="1" applyBorder="1" applyAlignment="1" applyProtection="1">
      <alignment horizontal="center" vertical="center"/>
      <protection hidden="1"/>
    </xf>
    <xf numFmtId="166" fontId="116" fillId="21" borderId="51" xfId="0" applyNumberFormat="1" applyFont="1" applyFill="1" applyBorder="1" applyAlignment="1" applyProtection="1">
      <alignment horizontal="center" vertical="center"/>
      <protection hidden="1"/>
    </xf>
    <xf numFmtId="166" fontId="116" fillId="21" borderId="52" xfId="0" applyNumberFormat="1" applyFont="1" applyFill="1" applyBorder="1" applyAlignment="1" applyProtection="1">
      <alignment horizontal="center" vertical="center"/>
      <protection hidden="1"/>
    </xf>
    <xf numFmtId="166" fontId="28" fillId="21" borderId="20" xfId="0" applyNumberFormat="1" applyFont="1" applyFill="1" applyBorder="1" applyAlignment="1" applyProtection="1">
      <alignment horizontal="center"/>
      <protection hidden="1"/>
    </xf>
    <xf numFmtId="166" fontId="28" fillId="21" borderId="51" xfId="0" applyNumberFormat="1" applyFont="1" applyFill="1" applyBorder="1" applyAlignment="1" applyProtection="1">
      <alignment horizontal="center"/>
      <protection hidden="1"/>
    </xf>
    <xf numFmtId="166" fontId="28" fillId="21" borderId="52" xfId="0" applyNumberFormat="1" applyFont="1" applyFill="1" applyBorder="1" applyAlignment="1" applyProtection="1">
      <alignment horizontal="center"/>
      <protection hidden="1"/>
    </xf>
    <xf numFmtId="0" fontId="97" fillId="0" borderId="0" xfId="0" applyFont="1" applyBorder="1" applyAlignment="1" applyProtection="1">
      <alignment horizontal="center"/>
      <protection hidden="1"/>
    </xf>
    <xf numFmtId="0" fontId="58" fillId="25" borderId="50" xfId="0" applyFont="1" applyFill="1" applyBorder="1" applyAlignment="1" applyProtection="1">
      <alignment horizontal="center" vertical="justify"/>
      <protection hidden="1"/>
    </xf>
    <xf numFmtId="0" fontId="58" fillId="25" borderId="65" xfId="0" applyFont="1" applyFill="1" applyBorder="1" applyAlignment="1" applyProtection="1">
      <alignment horizontal="center" vertical="justify"/>
      <protection hidden="1"/>
    </xf>
    <xf numFmtId="0" fontId="58" fillId="25" borderId="29" xfId="0" applyFont="1" applyFill="1" applyBorder="1" applyAlignment="1" applyProtection="1">
      <alignment horizontal="center" vertical="justify"/>
      <protection hidden="1"/>
    </xf>
  </cellXfs>
  <cellStyles count="333">
    <cellStyle name=" 1" xfId="127" xr:uid="{00000000-0005-0000-0000-000000000000}"/>
    <cellStyle name=" 1 2" xfId="130" xr:uid="{00000000-0005-0000-0000-000001000000}"/>
    <cellStyle name="_ET_STYLE_NoName_00_" xfId="100" xr:uid="{00000000-0005-0000-0000-000002000000}"/>
    <cellStyle name="_ET_STYLE_NoName_00_ 2" xfId="131" xr:uid="{00000000-0005-0000-0000-000003000000}"/>
    <cellStyle name="20% - Akzent1" xfId="24" xr:uid="{00000000-0005-0000-0000-000004000000}"/>
    <cellStyle name="20% - Akzent2" xfId="25" xr:uid="{00000000-0005-0000-0000-000005000000}"/>
    <cellStyle name="20% - Akzent3" xfId="26" xr:uid="{00000000-0005-0000-0000-000006000000}"/>
    <cellStyle name="20% - Akzent4" xfId="27" xr:uid="{00000000-0005-0000-0000-000007000000}"/>
    <cellStyle name="20% - Akzent5" xfId="28" xr:uid="{00000000-0005-0000-0000-000008000000}"/>
    <cellStyle name="20% - Akzent6" xfId="29" xr:uid="{00000000-0005-0000-0000-000009000000}"/>
    <cellStyle name="20% - Акцент1" xfId="103" xr:uid="{00000000-0005-0000-0000-00000A000000}"/>
    <cellStyle name="20% - Акцент1 2" xfId="132" xr:uid="{00000000-0005-0000-0000-00000B000000}"/>
    <cellStyle name="20% - Акцент1 3" xfId="133" xr:uid="{00000000-0005-0000-0000-00000C000000}"/>
    <cellStyle name="20% - Акцент1 4" xfId="134" xr:uid="{00000000-0005-0000-0000-00000D000000}"/>
    <cellStyle name="20% - Акцент2" xfId="104" xr:uid="{00000000-0005-0000-0000-00000E000000}"/>
    <cellStyle name="20% - Акцент2 2" xfId="135" xr:uid="{00000000-0005-0000-0000-00000F000000}"/>
    <cellStyle name="20% - Акцент2 3" xfId="136" xr:uid="{00000000-0005-0000-0000-000010000000}"/>
    <cellStyle name="20% - Акцент2 4" xfId="137" xr:uid="{00000000-0005-0000-0000-000011000000}"/>
    <cellStyle name="20% - Акцент3" xfId="105" xr:uid="{00000000-0005-0000-0000-000012000000}"/>
    <cellStyle name="20% - Акцент3 2" xfId="138" xr:uid="{00000000-0005-0000-0000-000013000000}"/>
    <cellStyle name="20% - Акцент3 3" xfId="139" xr:uid="{00000000-0005-0000-0000-000014000000}"/>
    <cellStyle name="20% - Акцент3 4" xfId="140" xr:uid="{00000000-0005-0000-0000-000015000000}"/>
    <cellStyle name="20% - Акцент4" xfId="106" xr:uid="{00000000-0005-0000-0000-000016000000}"/>
    <cellStyle name="20% - Акцент4 2" xfId="141" xr:uid="{00000000-0005-0000-0000-000017000000}"/>
    <cellStyle name="20% - Акцент4 3" xfId="142" xr:uid="{00000000-0005-0000-0000-000018000000}"/>
    <cellStyle name="20% - Акцент4 4" xfId="143" xr:uid="{00000000-0005-0000-0000-000019000000}"/>
    <cellStyle name="20% - Акцент5" xfId="107" xr:uid="{00000000-0005-0000-0000-00001A000000}"/>
    <cellStyle name="20% - Акцент5 2" xfId="144" xr:uid="{00000000-0005-0000-0000-00001B000000}"/>
    <cellStyle name="20% - Акцент5 3" xfId="145" xr:uid="{00000000-0005-0000-0000-00001C000000}"/>
    <cellStyle name="20% - Акцент5 4" xfId="146" xr:uid="{00000000-0005-0000-0000-00001D000000}"/>
    <cellStyle name="20% - Акцент6" xfId="108" xr:uid="{00000000-0005-0000-0000-00001E000000}"/>
    <cellStyle name="20% - Акцент6 2" xfId="147" xr:uid="{00000000-0005-0000-0000-00001F000000}"/>
    <cellStyle name="20% - Акцент6 3" xfId="148" xr:uid="{00000000-0005-0000-0000-000020000000}"/>
    <cellStyle name="20% - Акцент6 4" xfId="149" xr:uid="{00000000-0005-0000-0000-000021000000}"/>
    <cellStyle name="40% - Akzent1" xfId="30" xr:uid="{00000000-0005-0000-0000-000022000000}"/>
    <cellStyle name="40% - Akzent2" xfId="31" xr:uid="{00000000-0005-0000-0000-000023000000}"/>
    <cellStyle name="40% - Akzent3" xfId="32" xr:uid="{00000000-0005-0000-0000-000024000000}"/>
    <cellStyle name="40% - Akzent4" xfId="33" xr:uid="{00000000-0005-0000-0000-000025000000}"/>
    <cellStyle name="40% - Akzent5" xfId="34" xr:uid="{00000000-0005-0000-0000-000026000000}"/>
    <cellStyle name="40% - Akzent6" xfId="35" xr:uid="{00000000-0005-0000-0000-000027000000}"/>
    <cellStyle name="40% - Акцент1" xfId="109" xr:uid="{00000000-0005-0000-0000-000028000000}"/>
    <cellStyle name="40% - Акцент1 2" xfId="150" xr:uid="{00000000-0005-0000-0000-000029000000}"/>
    <cellStyle name="40% - Акцент1 3" xfId="151" xr:uid="{00000000-0005-0000-0000-00002A000000}"/>
    <cellStyle name="40% - Акцент1 4" xfId="152" xr:uid="{00000000-0005-0000-0000-00002B000000}"/>
    <cellStyle name="40% - Акцент2" xfId="110" xr:uid="{00000000-0005-0000-0000-00002C000000}"/>
    <cellStyle name="40% - Акцент2 2" xfId="153" xr:uid="{00000000-0005-0000-0000-00002D000000}"/>
    <cellStyle name="40% - Акцент2 3" xfId="154" xr:uid="{00000000-0005-0000-0000-00002E000000}"/>
    <cellStyle name="40% - Акцент2 4" xfId="155" xr:uid="{00000000-0005-0000-0000-00002F000000}"/>
    <cellStyle name="40% - Акцент3" xfId="111" xr:uid="{00000000-0005-0000-0000-000030000000}"/>
    <cellStyle name="40% - Акцент3 2" xfId="156" xr:uid="{00000000-0005-0000-0000-000031000000}"/>
    <cellStyle name="40% - Акцент3 3" xfId="157" xr:uid="{00000000-0005-0000-0000-000032000000}"/>
    <cellStyle name="40% - Акцент3 4" xfId="158" xr:uid="{00000000-0005-0000-0000-000033000000}"/>
    <cellStyle name="40% - Акцент4" xfId="112" xr:uid="{00000000-0005-0000-0000-000034000000}"/>
    <cellStyle name="40% - Акцент4 2" xfId="159" xr:uid="{00000000-0005-0000-0000-000035000000}"/>
    <cellStyle name="40% - Акцент4 3" xfId="160" xr:uid="{00000000-0005-0000-0000-000036000000}"/>
    <cellStyle name="40% - Акцент4 4" xfId="161" xr:uid="{00000000-0005-0000-0000-000037000000}"/>
    <cellStyle name="40% - Акцент5" xfId="113" xr:uid="{00000000-0005-0000-0000-000038000000}"/>
    <cellStyle name="40% - Акцент5 2" xfId="162" xr:uid="{00000000-0005-0000-0000-000039000000}"/>
    <cellStyle name="40% - Акцент5 3" xfId="163" xr:uid="{00000000-0005-0000-0000-00003A000000}"/>
    <cellStyle name="40% - Акцент5 4" xfId="164" xr:uid="{00000000-0005-0000-0000-00003B000000}"/>
    <cellStyle name="40% - Акцент6" xfId="114" xr:uid="{00000000-0005-0000-0000-00003C000000}"/>
    <cellStyle name="40% - Акцент6 2" xfId="165" xr:uid="{00000000-0005-0000-0000-00003D000000}"/>
    <cellStyle name="40% - Акцент6 3" xfId="166" xr:uid="{00000000-0005-0000-0000-00003E000000}"/>
    <cellStyle name="40% - Акцент6 4" xfId="167" xr:uid="{00000000-0005-0000-0000-00003F000000}"/>
    <cellStyle name="60% - Akzent1" xfId="36" xr:uid="{00000000-0005-0000-0000-000040000000}"/>
    <cellStyle name="60% - Akzent2" xfId="37" xr:uid="{00000000-0005-0000-0000-000041000000}"/>
    <cellStyle name="60% - Akzent3" xfId="38" xr:uid="{00000000-0005-0000-0000-000042000000}"/>
    <cellStyle name="60% - Akzent4" xfId="39" xr:uid="{00000000-0005-0000-0000-000043000000}"/>
    <cellStyle name="60% - Akzent5" xfId="40" xr:uid="{00000000-0005-0000-0000-000044000000}"/>
    <cellStyle name="60% - Akzent6" xfId="41" xr:uid="{00000000-0005-0000-0000-000045000000}"/>
    <cellStyle name="60% - Акцент1" xfId="115" xr:uid="{00000000-0005-0000-0000-000046000000}"/>
    <cellStyle name="60% - Акцент1 2" xfId="168" xr:uid="{00000000-0005-0000-0000-000047000000}"/>
    <cellStyle name="60% - Акцент1 3" xfId="169" xr:uid="{00000000-0005-0000-0000-000048000000}"/>
    <cellStyle name="60% - Акцент1 4" xfId="170" xr:uid="{00000000-0005-0000-0000-000049000000}"/>
    <cellStyle name="60% - Акцент2" xfId="116" xr:uid="{00000000-0005-0000-0000-00004A000000}"/>
    <cellStyle name="60% - Акцент2 2" xfId="171" xr:uid="{00000000-0005-0000-0000-00004B000000}"/>
    <cellStyle name="60% - Акцент2 3" xfId="172" xr:uid="{00000000-0005-0000-0000-00004C000000}"/>
    <cellStyle name="60% - Акцент2 4" xfId="173" xr:uid="{00000000-0005-0000-0000-00004D000000}"/>
    <cellStyle name="60% - Акцент3" xfId="117" xr:uid="{00000000-0005-0000-0000-00004E000000}"/>
    <cellStyle name="60% - Акцент3 2" xfId="174" xr:uid="{00000000-0005-0000-0000-00004F000000}"/>
    <cellStyle name="60% - Акцент3 3" xfId="175" xr:uid="{00000000-0005-0000-0000-000050000000}"/>
    <cellStyle name="60% - Акцент3 4" xfId="176" xr:uid="{00000000-0005-0000-0000-000051000000}"/>
    <cellStyle name="60% - Акцент4" xfId="118" xr:uid="{00000000-0005-0000-0000-000052000000}"/>
    <cellStyle name="60% - Акцент4 2" xfId="177" xr:uid="{00000000-0005-0000-0000-000053000000}"/>
    <cellStyle name="60% - Акцент4 3" xfId="178" xr:uid="{00000000-0005-0000-0000-000054000000}"/>
    <cellStyle name="60% - Акцент4 4" xfId="179" xr:uid="{00000000-0005-0000-0000-000055000000}"/>
    <cellStyle name="60% - Акцент5" xfId="119" xr:uid="{00000000-0005-0000-0000-000056000000}"/>
    <cellStyle name="60% - Акцент5 2" xfId="180" xr:uid="{00000000-0005-0000-0000-000057000000}"/>
    <cellStyle name="60% - Акцент5 3" xfId="181" xr:uid="{00000000-0005-0000-0000-000058000000}"/>
    <cellStyle name="60% - Акцент5 4" xfId="182" xr:uid="{00000000-0005-0000-0000-000059000000}"/>
    <cellStyle name="60% - Акцент6" xfId="120" xr:uid="{00000000-0005-0000-0000-00005A000000}"/>
    <cellStyle name="60% - Акцент6 2" xfId="183" xr:uid="{00000000-0005-0000-0000-00005B000000}"/>
    <cellStyle name="60% - Акцент6 3" xfId="184" xr:uid="{00000000-0005-0000-0000-00005C000000}"/>
    <cellStyle name="60% - Акцент6 4" xfId="185" xr:uid="{00000000-0005-0000-0000-00005D000000}"/>
    <cellStyle name="Akzent1" xfId="42" xr:uid="{00000000-0005-0000-0000-00005E000000}"/>
    <cellStyle name="Akzent2" xfId="43" xr:uid="{00000000-0005-0000-0000-00005F000000}"/>
    <cellStyle name="Akzent3" xfId="44" xr:uid="{00000000-0005-0000-0000-000060000000}"/>
    <cellStyle name="Akzent4" xfId="45" xr:uid="{00000000-0005-0000-0000-000061000000}"/>
    <cellStyle name="Akzent5" xfId="46" xr:uid="{00000000-0005-0000-0000-000062000000}"/>
    <cellStyle name="Akzent6" xfId="47" xr:uid="{00000000-0005-0000-0000-000063000000}"/>
    <cellStyle name="Ausgabe" xfId="48" xr:uid="{00000000-0005-0000-0000-000064000000}"/>
    <cellStyle name="Berechnung" xfId="49" xr:uid="{00000000-0005-0000-0000-000065000000}"/>
    <cellStyle name="čárky [0]_Vlastní náklady99" xfId="50" xr:uid="{00000000-0005-0000-0000-000066000000}"/>
    <cellStyle name="Eingabe" xfId="51" xr:uid="{00000000-0005-0000-0000-000067000000}"/>
    <cellStyle name="Ergebnis" xfId="52" xr:uid="{00000000-0005-0000-0000-000068000000}"/>
    <cellStyle name="Erklärender Text" xfId="53" xr:uid="{00000000-0005-0000-0000-000069000000}"/>
    <cellStyle name="Euro" xfId="54" xr:uid="{00000000-0005-0000-0000-00006A000000}"/>
    <cellStyle name="Gut" xfId="55" xr:uid="{00000000-0005-0000-0000-00006B000000}"/>
    <cellStyle name="Neutral" xfId="56" xr:uid="{00000000-0005-0000-0000-00006C000000}"/>
    <cellStyle name="Normal" xfId="83" xr:uid="{00000000-0005-0000-0000-00006D000000}"/>
    <cellStyle name="normální 2" xfId="16" xr:uid="{00000000-0005-0000-0000-00006E000000}"/>
    <cellStyle name="normální 2 2" xfId="84" xr:uid="{00000000-0005-0000-0000-00006F000000}"/>
    <cellStyle name="normální 3" xfId="57" xr:uid="{00000000-0005-0000-0000-000070000000}"/>
    <cellStyle name="normální 4" xfId="58" xr:uid="{00000000-0005-0000-0000-000071000000}"/>
    <cellStyle name="normální 4 2" xfId="85" xr:uid="{00000000-0005-0000-0000-000072000000}"/>
    <cellStyle name="normální 5" xfId="59" xr:uid="{00000000-0005-0000-0000-000073000000}"/>
    <cellStyle name="normální 6" xfId="60" xr:uid="{00000000-0005-0000-0000-000074000000}"/>
    <cellStyle name="Normální_List1" xfId="19" xr:uid="{00000000-0005-0000-0000-000075000000}"/>
    <cellStyle name="Notiz" xfId="61" xr:uid="{00000000-0005-0000-0000-000076000000}"/>
    <cellStyle name="procent 2" xfId="62" xr:uid="{00000000-0005-0000-0000-000077000000}"/>
    <cellStyle name="procent 3" xfId="63" xr:uid="{00000000-0005-0000-0000-000078000000}"/>
    <cellStyle name="procent 3 2" xfId="64" xr:uid="{00000000-0005-0000-0000-000079000000}"/>
    <cellStyle name="procent 4" xfId="65" xr:uid="{00000000-0005-0000-0000-00007A000000}"/>
    <cellStyle name="procent 5" xfId="66" xr:uid="{00000000-0005-0000-0000-00007B000000}"/>
    <cellStyle name="procent 6" xfId="67" xr:uid="{00000000-0005-0000-0000-00007C000000}"/>
    <cellStyle name="Schlecht" xfId="68" xr:uid="{00000000-0005-0000-0000-00007D000000}"/>
    <cellStyle name="Standard_Angebot.xls Diagramm 3" xfId="69" xr:uid="{00000000-0005-0000-0000-00007E000000}"/>
    <cellStyle name="Überschrift" xfId="70" xr:uid="{00000000-0005-0000-0000-00007F000000}"/>
    <cellStyle name="Überschrift 1" xfId="71" xr:uid="{00000000-0005-0000-0000-000080000000}"/>
    <cellStyle name="Überschrift 2" xfId="72" xr:uid="{00000000-0005-0000-0000-000081000000}"/>
    <cellStyle name="Überschrift 3" xfId="73" xr:uid="{00000000-0005-0000-0000-000082000000}"/>
    <cellStyle name="Überschrift 4" xfId="74" xr:uid="{00000000-0005-0000-0000-000083000000}"/>
    <cellStyle name="Verknüpfte Zelle" xfId="75" xr:uid="{00000000-0005-0000-0000-000084000000}"/>
    <cellStyle name="Warnender Text" xfId="76" xr:uid="{00000000-0005-0000-0000-000085000000}"/>
    <cellStyle name="Zelle überprüfen" xfId="77" xr:uid="{00000000-0005-0000-0000-000086000000}"/>
    <cellStyle name="Гиперссылка" xfId="1" builtinId="8"/>
    <cellStyle name="Гиперссылка 2" xfId="96" xr:uid="{00000000-0005-0000-0000-000088000000}"/>
    <cellStyle name="Гиперссылка 2 2" xfId="186" xr:uid="{00000000-0005-0000-0000-000089000000}"/>
    <cellStyle name="Гиперссылка 2 3" xfId="187" xr:uid="{00000000-0005-0000-0000-00008A000000}"/>
    <cellStyle name="Гиперссылка 2 4" xfId="188" xr:uid="{00000000-0005-0000-0000-00008B000000}"/>
    <cellStyle name="Денежный 2" xfId="21" xr:uid="{00000000-0005-0000-0000-00008C000000}"/>
    <cellStyle name="Обычный" xfId="0" builtinId="0"/>
    <cellStyle name="Обычный 10" xfId="189" xr:uid="{00000000-0005-0000-0000-00008E000000}"/>
    <cellStyle name="Обычный 10 2" xfId="235" xr:uid="{00000000-0005-0000-0000-00008F000000}"/>
    <cellStyle name="Обычный 10 2 2" xfId="308" xr:uid="{00000000-0005-0000-0000-000090000000}"/>
    <cellStyle name="Обычный 10 3" xfId="280" xr:uid="{00000000-0005-0000-0000-000091000000}"/>
    <cellStyle name="Обычный 11" xfId="190" xr:uid="{00000000-0005-0000-0000-000092000000}"/>
    <cellStyle name="Обычный 11 2" xfId="236" xr:uid="{00000000-0005-0000-0000-000093000000}"/>
    <cellStyle name="Обычный 11 2 2" xfId="309" xr:uid="{00000000-0005-0000-0000-000094000000}"/>
    <cellStyle name="Обычный 11 3" xfId="281" xr:uid="{00000000-0005-0000-0000-000095000000}"/>
    <cellStyle name="Обычный 12" xfId="129" xr:uid="{00000000-0005-0000-0000-000096000000}"/>
    <cellStyle name="Обычный 12 2" xfId="234" xr:uid="{00000000-0005-0000-0000-000097000000}"/>
    <cellStyle name="Обычный 12 2 2" xfId="307" xr:uid="{00000000-0005-0000-0000-000098000000}"/>
    <cellStyle name="Обычный 12 3" xfId="279" xr:uid="{00000000-0005-0000-0000-000099000000}"/>
    <cellStyle name="Обычный 13" xfId="226" xr:uid="{00000000-0005-0000-0000-00009A000000}"/>
    <cellStyle name="Обычный 13 2" xfId="254" xr:uid="{00000000-0005-0000-0000-00009B000000}"/>
    <cellStyle name="Обычный 13 2 2" xfId="327" xr:uid="{00000000-0005-0000-0000-00009C000000}"/>
    <cellStyle name="Обычный 13 3" xfId="300" xr:uid="{00000000-0005-0000-0000-00009D000000}"/>
    <cellStyle name="Обычный 14" xfId="257" xr:uid="{00000000-0005-0000-0000-00009E000000}"/>
    <cellStyle name="Обычный 14 2" xfId="330" xr:uid="{00000000-0005-0000-0000-00009F000000}"/>
    <cellStyle name="Обычный 2" xfId="2" xr:uid="{00000000-0005-0000-0000-0000A0000000}"/>
    <cellStyle name="Обычный 2 2" xfId="13" xr:uid="{00000000-0005-0000-0000-0000A1000000}"/>
    <cellStyle name="Обычный 2 2 2" xfId="121" xr:uid="{00000000-0005-0000-0000-0000A2000000}"/>
    <cellStyle name="Обычный 2 2 2 2" xfId="274" xr:uid="{00000000-0005-0000-0000-0000A3000000}"/>
    <cellStyle name="Обычный 2 3" xfId="191" xr:uid="{00000000-0005-0000-0000-0000A4000000}"/>
    <cellStyle name="Обычный 2 4" xfId="192" xr:uid="{00000000-0005-0000-0000-0000A5000000}"/>
    <cellStyle name="Обычный 2 5" xfId="193" xr:uid="{00000000-0005-0000-0000-0000A6000000}"/>
    <cellStyle name="Обычный 2 6" xfId="91" xr:uid="{00000000-0005-0000-0000-0000A7000000}"/>
    <cellStyle name="Обычный 3" xfId="3" xr:uid="{00000000-0005-0000-0000-0000A8000000}"/>
    <cellStyle name="Обычный 3 2" xfId="14" xr:uid="{00000000-0005-0000-0000-0000A9000000}"/>
    <cellStyle name="Обычный 3 2 2" xfId="194" xr:uid="{00000000-0005-0000-0000-0000AA000000}"/>
    <cellStyle name="Обычный 3 2 3" xfId="195" xr:uid="{00000000-0005-0000-0000-0000AB000000}"/>
    <cellStyle name="Обычный 3 2 4" xfId="196" xr:uid="{00000000-0005-0000-0000-0000AC000000}"/>
    <cellStyle name="Обычный 3 2 5" xfId="92" xr:uid="{00000000-0005-0000-0000-0000AD000000}"/>
    <cellStyle name="Обычный 3 3" xfId="102" xr:uid="{00000000-0005-0000-0000-0000AE000000}"/>
    <cellStyle name="Обычный 3 3 2" xfId="273" xr:uid="{00000000-0005-0000-0000-0000AF000000}"/>
    <cellStyle name="Обычный 3 4" xfId="89" xr:uid="{00000000-0005-0000-0000-0000B0000000}"/>
    <cellStyle name="Обычный 3 4 2" xfId="265" xr:uid="{00000000-0005-0000-0000-0000B1000000}"/>
    <cellStyle name="Обычный 4" xfId="4" xr:uid="{00000000-0005-0000-0000-0000B2000000}"/>
    <cellStyle name="Обычный 4 2" xfId="82" xr:uid="{00000000-0005-0000-0000-0000B3000000}"/>
    <cellStyle name="Обычный 4 2 2" xfId="238" xr:uid="{00000000-0005-0000-0000-0000B4000000}"/>
    <cellStyle name="Обычный 4 2 2 2" xfId="311" xr:uid="{00000000-0005-0000-0000-0000B5000000}"/>
    <cellStyle name="Обычный 4 2 3" xfId="198" xr:uid="{00000000-0005-0000-0000-0000B6000000}"/>
    <cellStyle name="Обычный 4 3" xfId="199" xr:uid="{00000000-0005-0000-0000-0000B7000000}"/>
    <cellStyle name="Обычный 4 3 2" xfId="239" xr:uid="{00000000-0005-0000-0000-0000B8000000}"/>
    <cellStyle name="Обычный 4 3 2 2" xfId="312" xr:uid="{00000000-0005-0000-0000-0000B9000000}"/>
    <cellStyle name="Обычный 4 3 3" xfId="283" xr:uid="{00000000-0005-0000-0000-0000BA000000}"/>
    <cellStyle name="Обычный 4 4" xfId="200" xr:uid="{00000000-0005-0000-0000-0000BB000000}"/>
    <cellStyle name="Обычный 4 4 2" xfId="240" xr:uid="{00000000-0005-0000-0000-0000BC000000}"/>
    <cellStyle name="Обычный 4 4 2 2" xfId="313" xr:uid="{00000000-0005-0000-0000-0000BD000000}"/>
    <cellStyle name="Обычный 4 4 3" xfId="284" xr:uid="{00000000-0005-0000-0000-0000BE000000}"/>
    <cellStyle name="Обычный 4 5" xfId="197" xr:uid="{00000000-0005-0000-0000-0000BF000000}"/>
    <cellStyle name="Обычный 4 5 2" xfId="237" xr:uid="{00000000-0005-0000-0000-0000C0000000}"/>
    <cellStyle name="Обычный 4 5 2 2" xfId="310" xr:uid="{00000000-0005-0000-0000-0000C1000000}"/>
    <cellStyle name="Обычный 4 5 3" xfId="282" xr:uid="{00000000-0005-0000-0000-0000C2000000}"/>
    <cellStyle name="Обычный 4 6" xfId="230" xr:uid="{00000000-0005-0000-0000-0000C3000000}"/>
    <cellStyle name="Обычный 4 6 2" xfId="303" xr:uid="{00000000-0005-0000-0000-0000C4000000}"/>
    <cellStyle name="Обычный 4 7" xfId="93" xr:uid="{00000000-0005-0000-0000-0000C5000000}"/>
    <cellStyle name="Обычный 5" xfId="5" xr:uid="{00000000-0005-0000-0000-0000C6000000}"/>
    <cellStyle name="Обычный 5 2" xfId="22" xr:uid="{00000000-0005-0000-0000-0000C7000000}"/>
    <cellStyle name="Обычный 5 2 2" xfId="201" xr:uid="{00000000-0005-0000-0000-0000C8000000}"/>
    <cellStyle name="Обычный 5 3" xfId="202" xr:uid="{00000000-0005-0000-0000-0000C9000000}"/>
    <cellStyle name="Обычный 5 4" xfId="203" xr:uid="{00000000-0005-0000-0000-0000CA000000}"/>
    <cellStyle name="Обычный 5 5" xfId="94" xr:uid="{00000000-0005-0000-0000-0000CB000000}"/>
    <cellStyle name="Обычный 6" xfId="6" xr:uid="{00000000-0005-0000-0000-0000CC000000}"/>
    <cellStyle name="Обычный 6 2" xfId="23" xr:uid="{00000000-0005-0000-0000-0000CD000000}"/>
    <cellStyle name="Обычный 6 2 2" xfId="204" xr:uid="{00000000-0005-0000-0000-0000CE000000}"/>
    <cellStyle name="Обычный 6 3" xfId="205" xr:uid="{00000000-0005-0000-0000-0000CF000000}"/>
    <cellStyle name="Обычный 7" xfId="7" xr:uid="{00000000-0005-0000-0000-0000D0000000}"/>
    <cellStyle name="Обычный 7 2" xfId="78" xr:uid="{00000000-0005-0000-0000-0000D1000000}"/>
    <cellStyle name="Обычный 7 2 2" xfId="206" xr:uid="{00000000-0005-0000-0000-0000D2000000}"/>
    <cellStyle name="Обычный 7 2 3" xfId="207" xr:uid="{00000000-0005-0000-0000-0000D3000000}"/>
    <cellStyle name="Обычный 7 2 4" xfId="208" xr:uid="{00000000-0005-0000-0000-0000D4000000}"/>
    <cellStyle name="Обычный 7 2 5" xfId="122" xr:uid="{00000000-0005-0000-0000-0000D5000000}"/>
    <cellStyle name="Обычный 7 3" xfId="267" xr:uid="{00000000-0005-0000-0000-0000D6000000}"/>
    <cellStyle name="Обычный 8" xfId="90" xr:uid="{00000000-0005-0000-0000-0000D7000000}"/>
    <cellStyle name="Обычный 8 2" xfId="210" xr:uid="{00000000-0005-0000-0000-0000D8000000}"/>
    <cellStyle name="Обычный 8 2 2" xfId="242" xr:uid="{00000000-0005-0000-0000-0000D9000000}"/>
    <cellStyle name="Обычный 8 2 2 2" xfId="315" xr:uid="{00000000-0005-0000-0000-0000DA000000}"/>
    <cellStyle name="Обычный 8 2 3" xfId="286" xr:uid="{00000000-0005-0000-0000-0000DB000000}"/>
    <cellStyle name="Обычный 8 3" xfId="211" xr:uid="{00000000-0005-0000-0000-0000DC000000}"/>
    <cellStyle name="Обычный 8 3 2" xfId="243" xr:uid="{00000000-0005-0000-0000-0000DD000000}"/>
    <cellStyle name="Обычный 8 3 2 2" xfId="316" xr:uid="{00000000-0005-0000-0000-0000DE000000}"/>
    <cellStyle name="Обычный 8 3 3" xfId="287" xr:uid="{00000000-0005-0000-0000-0000DF000000}"/>
    <cellStyle name="Обычный 8 4" xfId="212" xr:uid="{00000000-0005-0000-0000-0000E0000000}"/>
    <cellStyle name="Обычный 8 4 2" xfId="244" xr:uid="{00000000-0005-0000-0000-0000E1000000}"/>
    <cellStyle name="Обычный 8 4 2 2" xfId="317" xr:uid="{00000000-0005-0000-0000-0000E2000000}"/>
    <cellStyle name="Обычный 8 4 3" xfId="288" xr:uid="{00000000-0005-0000-0000-0000E3000000}"/>
    <cellStyle name="Обычный 8 5" xfId="209" xr:uid="{00000000-0005-0000-0000-0000E4000000}"/>
    <cellStyle name="Обычный 8 5 2" xfId="241" xr:uid="{00000000-0005-0000-0000-0000E5000000}"/>
    <cellStyle name="Обычный 8 5 2 2" xfId="314" xr:uid="{00000000-0005-0000-0000-0000E6000000}"/>
    <cellStyle name="Обычный 8 5 3" xfId="285" xr:uid="{00000000-0005-0000-0000-0000E7000000}"/>
    <cellStyle name="Обычный 8 6" xfId="229" xr:uid="{00000000-0005-0000-0000-0000E8000000}"/>
    <cellStyle name="Обычный 8 6 2" xfId="302" xr:uid="{00000000-0005-0000-0000-0000E9000000}"/>
    <cellStyle name="Обычный 8 7" xfId="266" xr:uid="{00000000-0005-0000-0000-0000EA000000}"/>
    <cellStyle name="Обычный 9" xfId="97" xr:uid="{00000000-0005-0000-0000-0000EB000000}"/>
    <cellStyle name="Обычный 9 2" xfId="214" xr:uid="{00000000-0005-0000-0000-0000EC000000}"/>
    <cellStyle name="Обычный 9 2 2" xfId="246" xr:uid="{00000000-0005-0000-0000-0000ED000000}"/>
    <cellStyle name="Обычный 9 2 2 2" xfId="319" xr:uid="{00000000-0005-0000-0000-0000EE000000}"/>
    <cellStyle name="Обычный 9 2 3" xfId="290" xr:uid="{00000000-0005-0000-0000-0000EF000000}"/>
    <cellStyle name="Обычный 9 3" xfId="215" xr:uid="{00000000-0005-0000-0000-0000F0000000}"/>
    <cellStyle name="Обычный 9 3 2" xfId="247" xr:uid="{00000000-0005-0000-0000-0000F1000000}"/>
    <cellStyle name="Обычный 9 3 2 2" xfId="320" xr:uid="{00000000-0005-0000-0000-0000F2000000}"/>
    <cellStyle name="Обычный 9 3 3" xfId="291" xr:uid="{00000000-0005-0000-0000-0000F3000000}"/>
    <cellStyle name="Обычный 9 4" xfId="216" xr:uid="{00000000-0005-0000-0000-0000F4000000}"/>
    <cellStyle name="Обычный 9 4 2" xfId="248" xr:uid="{00000000-0005-0000-0000-0000F5000000}"/>
    <cellStyle name="Обычный 9 4 2 2" xfId="321" xr:uid="{00000000-0005-0000-0000-0000F6000000}"/>
    <cellStyle name="Обычный 9 4 3" xfId="292" xr:uid="{00000000-0005-0000-0000-0000F7000000}"/>
    <cellStyle name="Обычный 9 5" xfId="213" xr:uid="{00000000-0005-0000-0000-0000F8000000}"/>
    <cellStyle name="Обычный 9 5 2" xfId="245" xr:uid="{00000000-0005-0000-0000-0000F9000000}"/>
    <cellStyle name="Обычный 9 5 2 2" xfId="318" xr:uid="{00000000-0005-0000-0000-0000FA000000}"/>
    <cellStyle name="Обычный 9 5 3" xfId="289" xr:uid="{00000000-0005-0000-0000-0000FB000000}"/>
    <cellStyle name="Обычный 9 6" xfId="232" xr:uid="{00000000-0005-0000-0000-0000FC000000}"/>
    <cellStyle name="Обычный 9 6 2" xfId="305" xr:uid="{00000000-0005-0000-0000-0000FD000000}"/>
    <cellStyle name="Обычный 9 7" xfId="272" xr:uid="{00000000-0005-0000-0000-0000FE000000}"/>
    <cellStyle name="Обычный_Euros" xfId="332" xr:uid="{B8A5780A-0164-4DB5-B745-10D7D63D05DF}"/>
    <cellStyle name="Обычный_Лист1" xfId="17" xr:uid="{00000000-0005-0000-0000-0000FF000000}"/>
    <cellStyle name="Процентный" xfId="88" builtinId="5"/>
    <cellStyle name="Процентный 2" xfId="81" xr:uid="{00000000-0005-0000-0000-000002010000}"/>
    <cellStyle name="Процентный 2 2" xfId="256" xr:uid="{00000000-0005-0000-0000-000003010000}"/>
    <cellStyle name="Процентный 2 2 2" xfId="329" xr:uid="{00000000-0005-0000-0000-000004010000}"/>
    <cellStyle name="Процентный 2 3" xfId="228" xr:uid="{00000000-0005-0000-0000-000005010000}"/>
    <cellStyle name="Процентный 3" xfId="86" xr:uid="{00000000-0005-0000-0000-000006010000}"/>
    <cellStyle name="Процентный 3 2" xfId="258" xr:uid="{00000000-0005-0000-0000-000007010000}"/>
    <cellStyle name="Стиль 1" xfId="99" xr:uid="{00000000-0005-0000-0000-000008010000}"/>
    <cellStyle name="Стиль 1 2" xfId="217" xr:uid="{00000000-0005-0000-0000-000009010000}"/>
    <cellStyle name="Финансовый" xfId="331" builtinId="3"/>
    <cellStyle name="Финансовый 2" xfId="8" xr:uid="{00000000-0005-0000-0000-00000A010000}"/>
    <cellStyle name="Финансовый 2 2" xfId="20" xr:uid="{00000000-0005-0000-0000-00000B010000}"/>
    <cellStyle name="Финансовый 2 2 2" xfId="125" xr:uid="{00000000-0005-0000-0000-00000C010000}"/>
    <cellStyle name="Финансовый 2 2 2 2" xfId="277" xr:uid="{00000000-0005-0000-0000-00000D010000}"/>
    <cellStyle name="Финансовый 2 3" xfId="18" xr:uid="{00000000-0005-0000-0000-00000E010000}"/>
    <cellStyle name="Финансовый 2 3 2" xfId="219" xr:uid="{00000000-0005-0000-0000-00000F010000}"/>
    <cellStyle name="Финансовый 2 3 2 2" xfId="294" xr:uid="{00000000-0005-0000-0000-000010010000}"/>
    <cellStyle name="Финансовый 2 4" xfId="218" xr:uid="{00000000-0005-0000-0000-000011010000}"/>
    <cellStyle name="Финансовый 2 4 2" xfId="293" xr:uid="{00000000-0005-0000-0000-000012010000}"/>
    <cellStyle name="Финансовый 2 5" xfId="95" xr:uid="{00000000-0005-0000-0000-000013010000}"/>
    <cellStyle name="Финансовый 3" xfId="79" xr:uid="{00000000-0005-0000-0000-000014010000}"/>
    <cellStyle name="Финансовый 3 2" xfId="253" xr:uid="{00000000-0005-0000-0000-000015010000}"/>
    <cellStyle name="Финансовый 3 2 2" xfId="326" xr:uid="{00000000-0005-0000-0000-000016010000}"/>
    <cellStyle name="Финансовый 3 2 3" xfId="263" xr:uid="{00000000-0005-0000-0000-000017010000}"/>
    <cellStyle name="Финансовый 3 3" xfId="224" xr:uid="{00000000-0005-0000-0000-000018010000}"/>
    <cellStyle name="Финансовый 3 3 2" xfId="299" xr:uid="{00000000-0005-0000-0000-000019010000}"/>
    <cellStyle name="Финансовый 3 4" xfId="260" xr:uid="{00000000-0005-0000-0000-00001A010000}"/>
    <cellStyle name="Финансовый 4" xfId="80" xr:uid="{00000000-0005-0000-0000-00001B010000}"/>
    <cellStyle name="Финансовый 4 2" xfId="255" xr:uid="{00000000-0005-0000-0000-00001C010000}"/>
    <cellStyle name="Финансовый 4 2 2" xfId="328" xr:uid="{00000000-0005-0000-0000-00001D010000}"/>
    <cellStyle name="Финансовый 4 2 3" xfId="264" xr:uid="{00000000-0005-0000-0000-00001E010000}"/>
    <cellStyle name="Финансовый 4 3" xfId="227" xr:uid="{00000000-0005-0000-0000-00001F010000}"/>
    <cellStyle name="Финансовый 4 3 2" xfId="301" xr:uid="{00000000-0005-0000-0000-000020010000}"/>
    <cellStyle name="Финансовый 4 4" xfId="261" xr:uid="{00000000-0005-0000-0000-000021010000}"/>
    <cellStyle name="Финансовый 5" xfId="87" xr:uid="{00000000-0005-0000-0000-000022010000}"/>
    <cellStyle name="Финансовый 5 2" xfId="233" xr:uid="{00000000-0005-0000-0000-000023010000}"/>
    <cellStyle name="Финансовый 5 2 2" xfId="306" xr:uid="{00000000-0005-0000-0000-000024010000}"/>
    <cellStyle name="Финансовый 5 3" xfId="262" xr:uid="{00000000-0005-0000-0000-000025010000}"/>
    <cellStyle name="Финансовый 6" xfId="15" xr:uid="{00000000-0005-0000-0000-000026010000}"/>
    <cellStyle name="Финансовый 7" xfId="128" xr:uid="{00000000-0005-0000-0000-000027010000}"/>
    <cellStyle name="Финансовый 8" xfId="259" xr:uid="{00000000-0005-0000-0000-000028010000}"/>
    <cellStyle name="千位分隔 2" xfId="126" xr:uid="{00000000-0005-0000-0000-000029010000}"/>
    <cellStyle name="千位分隔 2 2" xfId="278" xr:uid="{00000000-0005-0000-0000-00002A010000}"/>
    <cellStyle name="常规 15" xfId="123" xr:uid="{00000000-0005-0000-0000-00002B010000}"/>
    <cellStyle name="常规 15 2" xfId="275" xr:uid="{00000000-0005-0000-0000-00002C010000}"/>
    <cellStyle name="常规 2" xfId="9" xr:uid="{00000000-0005-0000-0000-00002D010000}"/>
    <cellStyle name="常规 2 2" xfId="124" xr:uid="{00000000-0005-0000-0000-00002E010000}"/>
    <cellStyle name="常规 2 2 2" xfId="276" xr:uid="{00000000-0005-0000-0000-00002F010000}"/>
    <cellStyle name="常规 2 3" xfId="221" xr:uid="{00000000-0005-0000-0000-000030010000}"/>
    <cellStyle name="常规 2 3 2" xfId="250" xr:uid="{00000000-0005-0000-0000-000031010000}"/>
    <cellStyle name="常规 2 3 2 2" xfId="323" xr:uid="{00000000-0005-0000-0000-000032010000}"/>
    <cellStyle name="常规 2 3 3" xfId="296" xr:uid="{00000000-0005-0000-0000-000033010000}"/>
    <cellStyle name="常规 2 4" xfId="222" xr:uid="{00000000-0005-0000-0000-000034010000}"/>
    <cellStyle name="常规 2 4 2" xfId="251" xr:uid="{00000000-0005-0000-0000-000035010000}"/>
    <cellStyle name="常规 2 4 2 2" xfId="324" xr:uid="{00000000-0005-0000-0000-000036010000}"/>
    <cellStyle name="常规 2 4 3" xfId="297" xr:uid="{00000000-0005-0000-0000-000037010000}"/>
    <cellStyle name="常规 2 5" xfId="223" xr:uid="{00000000-0005-0000-0000-000038010000}"/>
    <cellStyle name="常规 2 5 2" xfId="252" xr:uid="{00000000-0005-0000-0000-000039010000}"/>
    <cellStyle name="常规 2 5 2 2" xfId="325" xr:uid="{00000000-0005-0000-0000-00003A010000}"/>
    <cellStyle name="常规 2 5 3" xfId="298" xr:uid="{00000000-0005-0000-0000-00003B010000}"/>
    <cellStyle name="常规 2 6" xfId="220" xr:uid="{00000000-0005-0000-0000-00003C010000}"/>
    <cellStyle name="常规 2 6 2" xfId="249" xr:uid="{00000000-0005-0000-0000-00003D010000}"/>
    <cellStyle name="常规 2 6 2 2" xfId="322" xr:uid="{00000000-0005-0000-0000-00003E010000}"/>
    <cellStyle name="常规 2 6 3" xfId="295" xr:uid="{00000000-0005-0000-0000-00003F010000}"/>
    <cellStyle name="常规 2 7" xfId="231" xr:uid="{00000000-0005-0000-0000-000040010000}"/>
    <cellStyle name="常规 2 7 2" xfId="304" xr:uid="{00000000-0005-0000-0000-000041010000}"/>
    <cellStyle name="常规 2 8" xfId="268" xr:uid="{00000000-0005-0000-0000-000042010000}"/>
    <cellStyle name="常规 3" xfId="12" xr:uid="{00000000-0005-0000-0000-000043010000}"/>
    <cellStyle name="常规 3 2" xfId="269" xr:uid="{00000000-0005-0000-0000-000044010000}"/>
    <cellStyle name="常规 4" xfId="10" xr:uid="{00000000-0005-0000-0000-000045010000}"/>
    <cellStyle name="常规 4 2" xfId="270" xr:uid="{00000000-0005-0000-0000-000046010000}"/>
    <cellStyle name="常规 7" xfId="11" xr:uid="{00000000-0005-0000-0000-000047010000}"/>
    <cellStyle name="常规 7 2" xfId="271" xr:uid="{00000000-0005-0000-0000-000048010000}"/>
    <cellStyle name="常规_final PL-05012-Jan.23,2014" xfId="98" xr:uid="{00000000-0005-0000-0000-000049010000}"/>
    <cellStyle name="样式 1" xfId="101" xr:uid="{00000000-0005-0000-0000-00004A010000}"/>
    <cellStyle name="样式 1 2" xfId="225" xr:uid="{00000000-0005-0000-0000-00004B010000}"/>
  </cellStyles>
  <dxfs count="0"/>
  <tableStyles count="0" defaultTableStyle="TableStyleMedium9" defaultPivotStyle="PivotStyleLight16"/>
  <colors>
    <mruColors>
      <color rgb="FFE50046"/>
      <color rgb="FF800000"/>
      <color rgb="FF15314F"/>
      <color rgb="FFFFC9DA"/>
      <color rgb="FFDEE9F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emf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eg"/><Relationship Id="rId2" Type="http://schemas.openxmlformats.org/officeDocument/2006/relationships/image" Target="../media/image79.png"/><Relationship Id="rId1" Type="http://schemas.openxmlformats.org/officeDocument/2006/relationships/image" Target="../media/image1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1.png"/><Relationship Id="rId1" Type="http://schemas.openxmlformats.org/officeDocument/2006/relationships/image" Target="../media/image1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59901</xdr:colOff>
      <xdr:row>107</xdr:row>
      <xdr:rowOff>38523</xdr:rowOff>
    </xdr:from>
    <xdr:to>
      <xdr:col>1</xdr:col>
      <xdr:colOff>716491</xdr:colOff>
      <xdr:row>110</xdr:row>
      <xdr:rowOff>71555</xdr:rowOff>
    </xdr:to>
    <xdr:pic>
      <xdr:nvPicPr>
        <xdr:cNvPr id="73953" name="Рисунок 28">
          <a:extLst>
            <a:ext uri="{FF2B5EF4-FFF2-40B4-BE49-F238E27FC236}">
              <a16:creationId xmlns:a16="http://schemas.microsoft.com/office/drawing/2014/main" id="{00000000-0008-0000-0000-0000E1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4201" y="22584198"/>
          <a:ext cx="656590" cy="614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66463</xdr:colOff>
      <xdr:row>112</xdr:row>
      <xdr:rowOff>99483</xdr:rowOff>
    </xdr:from>
    <xdr:to>
      <xdr:col>1</xdr:col>
      <xdr:colOff>615103</xdr:colOff>
      <xdr:row>114</xdr:row>
      <xdr:rowOff>148167</xdr:rowOff>
    </xdr:to>
    <xdr:pic>
      <xdr:nvPicPr>
        <xdr:cNvPr id="73954" name="Рисунок 30">
          <a:extLst>
            <a:ext uri="{FF2B5EF4-FFF2-40B4-BE49-F238E27FC236}">
              <a16:creationId xmlns:a16="http://schemas.microsoft.com/office/drawing/2014/main" id="{00000000-0008-0000-0000-0000E2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0763" y="23607183"/>
          <a:ext cx="548640" cy="448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168910</xdr:colOff>
      <xdr:row>134</xdr:row>
      <xdr:rowOff>115570</xdr:rowOff>
    </xdr:from>
    <xdr:to>
      <xdr:col>1</xdr:col>
      <xdr:colOff>732790</xdr:colOff>
      <xdr:row>137</xdr:row>
      <xdr:rowOff>15452</xdr:rowOff>
    </xdr:to>
    <xdr:pic>
      <xdr:nvPicPr>
        <xdr:cNvPr id="73955" name="Рисунок 36">
          <a:extLst>
            <a:ext uri="{FF2B5EF4-FFF2-40B4-BE49-F238E27FC236}">
              <a16:creationId xmlns:a16="http://schemas.microsoft.com/office/drawing/2014/main" id="{00000000-0008-0000-0000-0000E3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68910" y="47264320"/>
          <a:ext cx="563880" cy="493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94827</xdr:colOff>
      <xdr:row>213</xdr:row>
      <xdr:rowOff>151129</xdr:rowOff>
    </xdr:from>
    <xdr:to>
      <xdr:col>1</xdr:col>
      <xdr:colOff>946669</xdr:colOff>
      <xdr:row>216</xdr:row>
      <xdr:rowOff>190499</xdr:rowOff>
    </xdr:to>
    <xdr:pic>
      <xdr:nvPicPr>
        <xdr:cNvPr id="73957" name="Рисунок 23">
          <a:extLst>
            <a:ext uri="{FF2B5EF4-FFF2-40B4-BE49-F238E27FC236}">
              <a16:creationId xmlns:a16="http://schemas.microsoft.com/office/drawing/2014/main" id="{00000000-0008-0000-0000-0000E5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4827" y="57830296"/>
          <a:ext cx="851842" cy="610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62229</xdr:colOff>
      <xdr:row>221</xdr:row>
      <xdr:rowOff>68157</xdr:rowOff>
    </xdr:from>
    <xdr:to>
      <xdr:col>1</xdr:col>
      <xdr:colOff>1001712</xdr:colOff>
      <xdr:row>224</xdr:row>
      <xdr:rowOff>179917</xdr:rowOff>
    </xdr:to>
    <xdr:pic>
      <xdr:nvPicPr>
        <xdr:cNvPr id="73958" name="Рисунок 24">
          <a:extLst>
            <a:ext uri="{FF2B5EF4-FFF2-40B4-BE49-F238E27FC236}">
              <a16:creationId xmlns:a16="http://schemas.microsoft.com/office/drawing/2014/main" id="{00000000-0008-0000-0000-0000E6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2229" y="59493574"/>
          <a:ext cx="939483" cy="683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167217</xdr:colOff>
      <xdr:row>236</xdr:row>
      <xdr:rowOff>43604</xdr:rowOff>
    </xdr:from>
    <xdr:to>
      <xdr:col>1</xdr:col>
      <xdr:colOff>837777</xdr:colOff>
      <xdr:row>238</xdr:row>
      <xdr:rowOff>160866</xdr:rowOff>
    </xdr:to>
    <xdr:pic>
      <xdr:nvPicPr>
        <xdr:cNvPr id="73959" name="Рисунок 25">
          <a:extLst>
            <a:ext uri="{FF2B5EF4-FFF2-40B4-BE49-F238E27FC236}">
              <a16:creationId xmlns:a16="http://schemas.microsoft.com/office/drawing/2014/main" id="{00000000-0008-0000-0000-0000E7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7217" y="67131354"/>
          <a:ext cx="670560" cy="498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244</xdr:row>
      <xdr:rowOff>45720</xdr:rowOff>
    </xdr:from>
    <xdr:to>
      <xdr:col>1</xdr:col>
      <xdr:colOff>815340</xdr:colOff>
      <xdr:row>247</xdr:row>
      <xdr:rowOff>83820</xdr:rowOff>
    </xdr:to>
    <xdr:pic>
      <xdr:nvPicPr>
        <xdr:cNvPr id="73960" name="Рисунок 26">
          <a:extLst>
            <a:ext uri="{FF2B5EF4-FFF2-40B4-BE49-F238E27FC236}">
              <a16:creationId xmlns:a16="http://schemas.microsoft.com/office/drawing/2014/main" id="{00000000-0008-0000-0000-0000E8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6200" y="68343780"/>
          <a:ext cx="73914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160020</xdr:colOff>
      <xdr:row>256</xdr:row>
      <xdr:rowOff>106680</xdr:rowOff>
    </xdr:from>
    <xdr:to>
      <xdr:col>1</xdr:col>
      <xdr:colOff>815340</xdr:colOff>
      <xdr:row>259</xdr:row>
      <xdr:rowOff>91443</xdr:rowOff>
    </xdr:to>
    <xdr:pic>
      <xdr:nvPicPr>
        <xdr:cNvPr id="73961" name="Рисунок 27">
          <a:extLst>
            <a:ext uri="{FF2B5EF4-FFF2-40B4-BE49-F238E27FC236}">
              <a16:creationId xmlns:a16="http://schemas.microsoft.com/office/drawing/2014/main" id="{00000000-0008-0000-0000-0000E9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60020" y="70797420"/>
          <a:ext cx="65532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265</xdr:row>
      <xdr:rowOff>45720</xdr:rowOff>
    </xdr:from>
    <xdr:to>
      <xdr:col>1</xdr:col>
      <xdr:colOff>815340</xdr:colOff>
      <xdr:row>268</xdr:row>
      <xdr:rowOff>91441</xdr:rowOff>
    </xdr:to>
    <xdr:pic>
      <xdr:nvPicPr>
        <xdr:cNvPr id="73962" name="Рисунок 28">
          <a:extLst>
            <a:ext uri="{FF2B5EF4-FFF2-40B4-BE49-F238E27FC236}">
              <a16:creationId xmlns:a16="http://schemas.microsoft.com/office/drawing/2014/main" id="{00000000-0008-0000-0000-0000EA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14300" y="72405240"/>
          <a:ext cx="70104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</xdr:colOff>
      <xdr:row>273</xdr:row>
      <xdr:rowOff>182880</xdr:rowOff>
    </xdr:from>
    <xdr:to>
      <xdr:col>1</xdr:col>
      <xdr:colOff>800100</xdr:colOff>
      <xdr:row>277</xdr:row>
      <xdr:rowOff>45722</xdr:rowOff>
    </xdr:to>
    <xdr:pic>
      <xdr:nvPicPr>
        <xdr:cNvPr id="73963" name="Рисунок 29">
          <a:extLst>
            <a:ext uri="{FF2B5EF4-FFF2-40B4-BE49-F238E27FC236}">
              <a16:creationId xmlns:a16="http://schemas.microsoft.com/office/drawing/2014/main" id="{00000000-0008-0000-0000-0000EB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1440" y="74020680"/>
          <a:ext cx="70866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</xdr:colOff>
      <xdr:row>281</xdr:row>
      <xdr:rowOff>60960</xdr:rowOff>
    </xdr:from>
    <xdr:to>
      <xdr:col>1</xdr:col>
      <xdr:colOff>838200</xdr:colOff>
      <xdr:row>283</xdr:row>
      <xdr:rowOff>99060</xdr:rowOff>
    </xdr:to>
    <xdr:pic>
      <xdr:nvPicPr>
        <xdr:cNvPr id="73964" name="Рисунок 30">
          <a:extLst>
            <a:ext uri="{FF2B5EF4-FFF2-40B4-BE49-F238E27FC236}">
              <a16:creationId xmlns:a16="http://schemas.microsoft.com/office/drawing/2014/main" id="{00000000-0008-0000-0000-0000EC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1440" y="75582780"/>
          <a:ext cx="74676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175260</xdr:colOff>
      <xdr:row>310</xdr:row>
      <xdr:rowOff>30480</xdr:rowOff>
    </xdr:from>
    <xdr:to>
      <xdr:col>1</xdr:col>
      <xdr:colOff>769620</xdr:colOff>
      <xdr:row>312</xdr:row>
      <xdr:rowOff>99060</xdr:rowOff>
    </xdr:to>
    <xdr:pic>
      <xdr:nvPicPr>
        <xdr:cNvPr id="73965" name="Рисунок 33">
          <a:extLst>
            <a:ext uri="{FF2B5EF4-FFF2-40B4-BE49-F238E27FC236}">
              <a16:creationId xmlns:a16="http://schemas.microsoft.com/office/drawing/2014/main" id="{00000000-0008-0000-0000-0000ED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75260" y="82410300"/>
          <a:ext cx="594360" cy="434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144780</xdr:colOff>
      <xdr:row>334</xdr:row>
      <xdr:rowOff>0</xdr:rowOff>
    </xdr:from>
    <xdr:to>
      <xdr:col>1</xdr:col>
      <xdr:colOff>769620</xdr:colOff>
      <xdr:row>336</xdr:row>
      <xdr:rowOff>106680</xdr:rowOff>
    </xdr:to>
    <xdr:pic>
      <xdr:nvPicPr>
        <xdr:cNvPr id="73966" name="Рисунок 34">
          <a:extLst>
            <a:ext uri="{FF2B5EF4-FFF2-40B4-BE49-F238E27FC236}">
              <a16:creationId xmlns:a16="http://schemas.microsoft.com/office/drawing/2014/main" id="{00000000-0008-0000-0000-0000EE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4780" y="87751920"/>
          <a:ext cx="62484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281940</xdr:colOff>
      <xdr:row>627</xdr:row>
      <xdr:rowOff>34290</xdr:rowOff>
    </xdr:from>
    <xdr:to>
      <xdr:col>1</xdr:col>
      <xdr:colOff>714375</xdr:colOff>
      <xdr:row>630</xdr:row>
      <xdr:rowOff>85676</xdr:rowOff>
    </xdr:to>
    <xdr:pic>
      <xdr:nvPicPr>
        <xdr:cNvPr id="73969" name="Рисунок 22">
          <a:extLst>
            <a:ext uri="{FF2B5EF4-FFF2-40B4-BE49-F238E27FC236}">
              <a16:creationId xmlns:a16="http://schemas.microsoft.com/office/drawing/2014/main" id="{00000000-0008-0000-0000-0000F1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lum bright="-4000" contrast="28000"/>
        </a:blip>
        <a:srcRect/>
        <a:stretch>
          <a:fillRect/>
        </a:stretch>
      </xdr:blipFill>
      <xdr:spPr bwMode="auto">
        <a:xfrm>
          <a:off x="281940" y="147976590"/>
          <a:ext cx="432435" cy="6800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213360</xdr:colOff>
      <xdr:row>783</xdr:row>
      <xdr:rowOff>43815</xdr:rowOff>
    </xdr:from>
    <xdr:to>
      <xdr:col>1</xdr:col>
      <xdr:colOff>746041</xdr:colOff>
      <xdr:row>785</xdr:row>
      <xdr:rowOff>123826</xdr:rowOff>
    </xdr:to>
    <xdr:pic>
      <xdr:nvPicPr>
        <xdr:cNvPr id="73972" name="Picture 6">
          <a:extLst>
            <a:ext uri="{FF2B5EF4-FFF2-40B4-BE49-F238E27FC236}">
              <a16:creationId xmlns:a16="http://schemas.microsoft.com/office/drawing/2014/main" id="{00000000-0008-0000-0000-0000F42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13360" y="195134865"/>
          <a:ext cx="532681" cy="470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788</xdr:row>
      <xdr:rowOff>17145</xdr:rowOff>
    </xdr:from>
    <xdr:to>
      <xdr:col>1</xdr:col>
      <xdr:colOff>693690</xdr:colOff>
      <xdr:row>790</xdr:row>
      <xdr:rowOff>66676</xdr:rowOff>
    </xdr:to>
    <xdr:pic>
      <xdr:nvPicPr>
        <xdr:cNvPr id="73973" name="Picture 8">
          <a:extLst>
            <a:ext uri="{FF2B5EF4-FFF2-40B4-BE49-F238E27FC236}">
              <a16:creationId xmlns:a16="http://schemas.microsoft.com/office/drawing/2014/main" id="{00000000-0008-0000-0000-0000F52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47650" y="196051170"/>
          <a:ext cx="44604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198120</xdr:colOff>
      <xdr:row>289</xdr:row>
      <xdr:rowOff>45720</xdr:rowOff>
    </xdr:from>
    <xdr:to>
      <xdr:col>1</xdr:col>
      <xdr:colOff>769620</xdr:colOff>
      <xdr:row>292</xdr:row>
      <xdr:rowOff>36194</xdr:rowOff>
    </xdr:to>
    <xdr:pic>
      <xdr:nvPicPr>
        <xdr:cNvPr id="73978" name="Рисунок 168">
          <a:extLst>
            <a:ext uri="{FF2B5EF4-FFF2-40B4-BE49-F238E27FC236}">
              <a16:creationId xmlns:a16="http://schemas.microsoft.com/office/drawing/2014/main" id="{00000000-0008-0000-0000-0000FA2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8120" y="78143100"/>
          <a:ext cx="57150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167640</xdr:colOff>
      <xdr:row>295</xdr:row>
      <xdr:rowOff>175260</xdr:rowOff>
    </xdr:from>
    <xdr:to>
      <xdr:col>1</xdr:col>
      <xdr:colOff>822960</xdr:colOff>
      <xdr:row>298</xdr:row>
      <xdr:rowOff>83820</xdr:rowOff>
    </xdr:to>
    <xdr:pic>
      <xdr:nvPicPr>
        <xdr:cNvPr id="73979" name="Рисунок 169">
          <a:extLst>
            <a:ext uri="{FF2B5EF4-FFF2-40B4-BE49-F238E27FC236}">
              <a16:creationId xmlns:a16="http://schemas.microsoft.com/office/drawing/2014/main" id="{00000000-0008-0000-0000-0000FB2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67640" y="79583280"/>
          <a:ext cx="65532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146473</xdr:colOff>
      <xdr:row>228</xdr:row>
      <xdr:rowOff>51647</xdr:rowOff>
    </xdr:from>
    <xdr:to>
      <xdr:col>1</xdr:col>
      <xdr:colOff>846666</xdr:colOff>
      <xdr:row>231</xdr:row>
      <xdr:rowOff>109640</xdr:rowOff>
    </xdr:to>
    <xdr:pic>
      <xdr:nvPicPr>
        <xdr:cNvPr id="73980" name="Рисунок 6">
          <a:extLst>
            <a:ext uri="{FF2B5EF4-FFF2-40B4-BE49-F238E27FC236}">
              <a16:creationId xmlns:a16="http://schemas.microsoft.com/office/drawing/2014/main" id="{00000000-0008-0000-0000-0000FC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46473" y="61032814"/>
          <a:ext cx="700193" cy="64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128693</xdr:colOff>
      <xdr:row>318</xdr:row>
      <xdr:rowOff>187113</xdr:rowOff>
    </xdr:from>
    <xdr:to>
      <xdr:col>1</xdr:col>
      <xdr:colOff>830773</xdr:colOff>
      <xdr:row>322</xdr:row>
      <xdr:rowOff>21166</xdr:rowOff>
    </xdr:to>
    <xdr:pic>
      <xdr:nvPicPr>
        <xdr:cNvPr id="73982" name="Рисунок 10">
          <a:extLst>
            <a:ext uri="{FF2B5EF4-FFF2-40B4-BE49-F238E27FC236}">
              <a16:creationId xmlns:a16="http://schemas.microsoft.com/office/drawing/2014/main" id="{00000000-0008-0000-0000-0000FE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28693" y="78863613"/>
          <a:ext cx="702080" cy="59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63500</xdr:colOff>
      <xdr:row>325</xdr:row>
      <xdr:rowOff>97367</xdr:rowOff>
    </xdr:from>
    <xdr:to>
      <xdr:col>1</xdr:col>
      <xdr:colOff>885218</xdr:colOff>
      <xdr:row>329</xdr:row>
      <xdr:rowOff>127000</xdr:rowOff>
    </xdr:to>
    <xdr:pic>
      <xdr:nvPicPr>
        <xdr:cNvPr id="73983" name="Рисунок 11">
          <a:extLst>
            <a:ext uri="{FF2B5EF4-FFF2-40B4-BE49-F238E27FC236}">
              <a16:creationId xmlns:a16="http://schemas.microsoft.com/office/drawing/2014/main" id="{00000000-0008-0000-0000-0000FF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3500" y="80319034"/>
          <a:ext cx="821718" cy="8022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94403</xdr:colOff>
      <xdr:row>117</xdr:row>
      <xdr:rowOff>42121</xdr:rowOff>
    </xdr:from>
    <xdr:to>
      <xdr:col>1</xdr:col>
      <xdr:colOff>909743</xdr:colOff>
      <xdr:row>119</xdr:row>
      <xdr:rowOff>180975</xdr:rowOff>
    </xdr:to>
    <xdr:pic>
      <xdr:nvPicPr>
        <xdr:cNvPr id="73987" name="Рисунок 6">
          <a:extLst>
            <a:ext uri="{FF2B5EF4-FFF2-40B4-BE49-F238E27FC236}">
              <a16:creationId xmlns:a16="http://schemas.microsoft.com/office/drawing/2014/main" id="{00000000-0008-0000-0000-000003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08703" y="24530896"/>
          <a:ext cx="815340" cy="529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119877</xdr:colOff>
      <xdr:row>865</xdr:row>
      <xdr:rowOff>23957</xdr:rowOff>
    </xdr:from>
    <xdr:to>
      <xdr:col>1</xdr:col>
      <xdr:colOff>784410</xdr:colOff>
      <xdr:row>868</xdr:row>
      <xdr:rowOff>209122</xdr:rowOff>
    </xdr:to>
    <xdr:pic>
      <xdr:nvPicPr>
        <xdr:cNvPr id="73989" name="Рисунок 13">
          <a:extLst>
            <a:ext uri="{FF2B5EF4-FFF2-40B4-BE49-F238E27FC236}">
              <a16:creationId xmlns:a16="http://schemas.microsoft.com/office/drawing/2014/main" id="{00000000-0008-0000-0000-000005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1936" y="173580663"/>
          <a:ext cx="664533" cy="857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53763</xdr:colOff>
      <xdr:row>121</xdr:row>
      <xdr:rowOff>70274</xdr:rowOff>
    </xdr:from>
    <xdr:to>
      <xdr:col>1</xdr:col>
      <xdr:colOff>876723</xdr:colOff>
      <xdr:row>123</xdr:row>
      <xdr:rowOff>120648</xdr:rowOff>
    </xdr:to>
    <xdr:pic>
      <xdr:nvPicPr>
        <xdr:cNvPr id="73991" name="Рисунок 159" descr="2075-new design.jpg">
          <a:extLst>
            <a:ext uri="{FF2B5EF4-FFF2-40B4-BE49-F238E27FC236}">
              <a16:creationId xmlns:a16="http://schemas.microsoft.com/office/drawing/2014/main" id="{00000000-0008-0000-0000-000007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68063" y="25330574"/>
          <a:ext cx="822960" cy="45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</xdr:colOff>
      <xdr:row>512</xdr:row>
      <xdr:rowOff>91440</xdr:rowOff>
    </xdr:from>
    <xdr:to>
      <xdr:col>1</xdr:col>
      <xdr:colOff>891540</xdr:colOff>
      <xdr:row>515</xdr:row>
      <xdr:rowOff>7620</xdr:rowOff>
    </xdr:to>
    <xdr:pic>
      <xdr:nvPicPr>
        <xdr:cNvPr id="73995" name="Рисунок 167">
          <a:extLst>
            <a:ext uri="{FF2B5EF4-FFF2-40B4-BE49-F238E27FC236}">
              <a16:creationId xmlns:a16="http://schemas.microsoft.com/office/drawing/2014/main" id="{00000000-0008-0000-0000-00000B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99060" y="125097540"/>
          <a:ext cx="79248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59267</xdr:colOff>
      <xdr:row>151</xdr:row>
      <xdr:rowOff>27093</xdr:rowOff>
    </xdr:from>
    <xdr:to>
      <xdr:col>1</xdr:col>
      <xdr:colOff>882227</xdr:colOff>
      <xdr:row>153</xdr:row>
      <xdr:rowOff>4232</xdr:rowOff>
    </xdr:to>
    <xdr:pic>
      <xdr:nvPicPr>
        <xdr:cNvPr id="73998" name="Picture 20628">
          <a:extLst>
            <a:ext uri="{FF2B5EF4-FFF2-40B4-BE49-F238E27FC236}">
              <a16:creationId xmlns:a16="http://schemas.microsoft.com/office/drawing/2014/main" id="{00000000-0008-0000-0000-00000E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9267" y="52308760"/>
          <a:ext cx="822960" cy="36872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97367</xdr:colOff>
      <xdr:row>345</xdr:row>
      <xdr:rowOff>169757</xdr:rowOff>
    </xdr:from>
    <xdr:to>
      <xdr:col>1</xdr:col>
      <xdr:colOff>844127</xdr:colOff>
      <xdr:row>349</xdr:row>
      <xdr:rowOff>155575</xdr:rowOff>
    </xdr:to>
    <xdr:pic>
      <xdr:nvPicPr>
        <xdr:cNvPr id="73999" name="Picture 20629">
          <a:extLst>
            <a:ext uri="{FF2B5EF4-FFF2-40B4-BE49-F238E27FC236}">
              <a16:creationId xmlns:a16="http://schemas.microsoft.com/office/drawing/2014/main" id="{00000000-0008-0000-0000-00000F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7367" y="84095590"/>
          <a:ext cx="746760" cy="74781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</xdr:colOff>
      <xdr:row>364</xdr:row>
      <xdr:rowOff>101237</xdr:rowOff>
    </xdr:from>
    <xdr:to>
      <xdr:col>1</xdr:col>
      <xdr:colOff>769620</xdr:colOff>
      <xdr:row>368</xdr:row>
      <xdr:rowOff>99602</xdr:rowOff>
    </xdr:to>
    <xdr:pic>
      <xdr:nvPicPr>
        <xdr:cNvPr id="74000" name="Picture 20630">
          <a:extLst>
            <a:ext uri="{FF2B5EF4-FFF2-40B4-BE49-F238E27FC236}">
              <a16:creationId xmlns:a16="http://schemas.microsoft.com/office/drawing/2014/main" id="{00000000-0008-0000-0000-000010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07917" y="74913308"/>
          <a:ext cx="670560" cy="76036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</xdr:colOff>
      <xdr:row>375</xdr:row>
      <xdr:rowOff>175260</xdr:rowOff>
    </xdr:from>
    <xdr:to>
      <xdr:col>1</xdr:col>
      <xdr:colOff>716280</xdr:colOff>
      <xdr:row>379</xdr:row>
      <xdr:rowOff>165734</xdr:rowOff>
    </xdr:to>
    <xdr:pic>
      <xdr:nvPicPr>
        <xdr:cNvPr id="74001" name="Picture 20792">
          <a:extLst>
            <a:ext uri="{FF2B5EF4-FFF2-40B4-BE49-F238E27FC236}">
              <a16:creationId xmlns:a16="http://schemas.microsoft.com/office/drawing/2014/main" id="{00000000-0008-0000-0000-000011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37160" y="97132140"/>
          <a:ext cx="579120" cy="7315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167640</xdr:colOff>
      <xdr:row>385</xdr:row>
      <xdr:rowOff>175260</xdr:rowOff>
    </xdr:from>
    <xdr:to>
      <xdr:col>1</xdr:col>
      <xdr:colOff>731520</xdr:colOff>
      <xdr:row>388</xdr:row>
      <xdr:rowOff>183543</xdr:rowOff>
    </xdr:to>
    <xdr:pic>
      <xdr:nvPicPr>
        <xdr:cNvPr id="74002" name="Picture 20793">
          <a:extLst>
            <a:ext uri="{FF2B5EF4-FFF2-40B4-BE49-F238E27FC236}">
              <a16:creationId xmlns:a16="http://schemas.microsoft.com/office/drawing/2014/main" id="{00000000-0008-0000-0000-000012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67640" y="99174300"/>
          <a:ext cx="563880" cy="5562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394</xdr:row>
      <xdr:rowOff>45720</xdr:rowOff>
    </xdr:from>
    <xdr:to>
      <xdr:col>1</xdr:col>
      <xdr:colOff>685800</xdr:colOff>
      <xdr:row>397</xdr:row>
      <xdr:rowOff>144780</xdr:rowOff>
    </xdr:to>
    <xdr:pic>
      <xdr:nvPicPr>
        <xdr:cNvPr id="74003" name="Picture 20794">
          <a:extLst>
            <a:ext uri="{FF2B5EF4-FFF2-40B4-BE49-F238E27FC236}">
              <a16:creationId xmlns:a16="http://schemas.microsoft.com/office/drawing/2014/main" id="{00000000-0008-0000-0000-000013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14300" y="101262180"/>
          <a:ext cx="57150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404</xdr:row>
      <xdr:rowOff>83820</xdr:rowOff>
    </xdr:from>
    <xdr:to>
      <xdr:col>1</xdr:col>
      <xdr:colOff>815340</xdr:colOff>
      <xdr:row>406</xdr:row>
      <xdr:rowOff>129538</xdr:rowOff>
    </xdr:to>
    <xdr:pic>
      <xdr:nvPicPr>
        <xdr:cNvPr id="74004" name="Picture 20795">
          <a:extLst>
            <a:ext uri="{FF2B5EF4-FFF2-40B4-BE49-F238E27FC236}">
              <a16:creationId xmlns:a16="http://schemas.microsoft.com/office/drawing/2014/main" id="{00000000-0008-0000-0000-000014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38100" y="103327200"/>
          <a:ext cx="777240" cy="419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198120</xdr:colOff>
      <xdr:row>410</xdr:row>
      <xdr:rowOff>45720</xdr:rowOff>
    </xdr:from>
    <xdr:to>
      <xdr:col>1</xdr:col>
      <xdr:colOff>762000</xdr:colOff>
      <xdr:row>412</xdr:row>
      <xdr:rowOff>144780</xdr:rowOff>
    </xdr:to>
    <xdr:pic>
      <xdr:nvPicPr>
        <xdr:cNvPr id="74005" name="Picture 20796">
          <a:extLst>
            <a:ext uri="{FF2B5EF4-FFF2-40B4-BE49-F238E27FC236}">
              <a16:creationId xmlns:a16="http://schemas.microsoft.com/office/drawing/2014/main" id="{00000000-0008-0000-0000-000015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98120" y="104599740"/>
          <a:ext cx="563880" cy="4648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303</xdr:row>
      <xdr:rowOff>83820</xdr:rowOff>
    </xdr:from>
    <xdr:to>
      <xdr:col>1</xdr:col>
      <xdr:colOff>754380</xdr:colOff>
      <xdr:row>305</xdr:row>
      <xdr:rowOff>112394</xdr:rowOff>
    </xdr:to>
    <xdr:pic>
      <xdr:nvPicPr>
        <xdr:cNvPr id="74006" name="Picture 20797">
          <a:extLst>
            <a:ext uri="{FF2B5EF4-FFF2-40B4-BE49-F238E27FC236}">
              <a16:creationId xmlns:a16="http://schemas.microsoft.com/office/drawing/2014/main" id="{00000000-0008-0000-0000-000016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6200" y="80970120"/>
          <a:ext cx="678180" cy="4038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</xdr:colOff>
      <xdr:row>415</xdr:row>
      <xdr:rowOff>85725</xdr:rowOff>
    </xdr:from>
    <xdr:to>
      <xdr:col>1</xdr:col>
      <xdr:colOff>609600</xdr:colOff>
      <xdr:row>417</xdr:row>
      <xdr:rowOff>169545</xdr:rowOff>
    </xdr:to>
    <xdr:pic>
      <xdr:nvPicPr>
        <xdr:cNvPr id="74007" name="Picture 20957">
          <a:extLst>
            <a:ext uri="{FF2B5EF4-FFF2-40B4-BE49-F238E27FC236}">
              <a16:creationId xmlns:a16="http://schemas.microsoft.com/office/drawing/2014/main" id="{00000000-0008-0000-0000-000017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37160" y="106422825"/>
          <a:ext cx="472440" cy="48386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125730</xdr:colOff>
      <xdr:row>419</xdr:row>
      <xdr:rowOff>70485</xdr:rowOff>
    </xdr:from>
    <xdr:to>
      <xdr:col>1</xdr:col>
      <xdr:colOff>742950</xdr:colOff>
      <xdr:row>421</xdr:row>
      <xdr:rowOff>169759</xdr:rowOff>
    </xdr:to>
    <xdr:pic>
      <xdr:nvPicPr>
        <xdr:cNvPr id="74008" name="Picture 20958">
          <a:extLst>
            <a:ext uri="{FF2B5EF4-FFF2-40B4-BE49-F238E27FC236}">
              <a16:creationId xmlns:a16="http://schemas.microsoft.com/office/drawing/2014/main" id="{00000000-0008-0000-0000-000018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25730" y="107388660"/>
          <a:ext cx="617220" cy="499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104165</xdr:colOff>
      <xdr:row>480</xdr:row>
      <xdr:rowOff>13359</xdr:rowOff>
    </xdr:from>
    <xdr:to>
      <xdr:col>1</xdr:col>
      <xdr:colOff>751865</xdr:colOff>
      <xdr:row>482</xdr:row>
      <xdr:rowOff>99084</xdr:rowOff>
    </xdr:to>
    <xdr:pic>
      <xdr:nvPicPr>
        <xdr:cNvPr id="74010" name="Picture 21119">
          <a:extLst>
            <a:ext uri="{FF2B5EF4-FFF2-40B4-BE49-F238E27FC236}">
              <a16:creationId xmlns:a16="http://schemas.microsoft.com/office/drawing/2014/main" id="{00000000-0008-0000-0000-00001A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16224" y="96137418"/>
          <a:ext cx="647700" cy="47793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135479</xdr:colOff>
      <xdr:row>484</xdr:row>
      <xdr:rowOff>24877</xdr:rowOff>
    </xdr:from>
    <xdr:to>
      <xdr:col>1</xdr:col>
      <xdr:colOff>821279</xdr:colOff>
      <xdr:row>486</xdr:row>
      <xdr:rowOff>15349</xdr:rowOff>
    </xdr:to>
    <xdr:pic>
      <xdr:nvPicPr>
        <xdr:cNvPr id="74011" name="Picture 21120">
          <a:extLst>
            <a:ext uri="{FF2B5EF4-FFF2-40B4-BE49-F238E27FC236}">
              <a16:creationId xmlns:a16="http://schemas.microsoft.com/office/drawing/2014/main" id="{00000000-0008-0000-0000-00001B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247538" y="97572083"/>
          <a:ext cx="685800" cy="3826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</xdr:colOff>
      <xdr:row>503</xdr:row>
      <xdr:rowOff>186690</xdr:rowOff>
    </xdr:from>
    <xdr:to>
      <xdr:col>1</xdr:col>
      <xdr:colOff>923925</xdr:colOff>
      <xdr:row>506</xdr:row>
      <xdr:rowOff>179070</xdr:rowOff>
    </xdr:to>
    <xdr:pic>
      <xdr:nvPicPr>
        <xdr:cNvPr id="74012" name="Picture 21123">
          <a:extLst>
            <a:ext uri="{FF2B5EF4-FFF2-40B4-BE49-F238E27FC236}">
              <a16:creationId xmlns:a16="http://schemas.microsoft.com/office/drawing/2014/main" id="{00000000-0008-0000-0000-00001C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93345" y="123449715"/>
          <a:ext cx="830580" cy="5638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518</xdr:row>
      <xdr:rowOff>80129</xdr:rowOff>
    </xdr:from>
    <xdr:to>
      <xdr:col>1</xdr:col>
      <xdr:colOff>828675</xdr:colOff>
      <xdr:row>519</xdr:row>
      <xdr:rowOff>188477</xdr:rowOff>
    </xdr:to>
    <xdr:pic>
      <xdr:nvPicPr>
        <xdr:cNvPr id="74013" name="Picture 21124">
          <a:extLst>
            <a:ext uri="{FF2B5EF4-FFF2-40B4-BE49-F238E27FC236}">
              <a16:creationId xmlns:a16="http://schemas.microsoft.com/office/drawing/2014/main" id="{00000000-0008-0000-0000-00001D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23825" y="126248279"/>
          <a:ext cx="704850" cy="30837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350520</xdr:colOff>
      <xdr:row>675</xdr:row>
      <xdr:rowOff>127635</xdr:rowOff>
    </xdr:from>
    <xdr:to>
      <xdr:col>1</xdr:col>
      <xdr:colOff>830580</xdr:colOff>
      <xdr:row>679</xdr:row>
      <xdr:rowOff>160020</xdr:rowOff>
    </xdr:to>
    <xdr:pic>
      <xdr:nvPicPr>
        <xdr:cNvPr id="74017" name="Picture 22878">
          <a:extLst>
            <a:ext uri="{FF2B5EF4-FFF2-40B4-BE49-F238E27FC236}">
              <a16:creationId xmlns:a16="http://schemas.microsoft.com/office/drawing/2014/main" id="{00000000-0008-0000-0000-000021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50520" y="179597685"/>
          <a:ext cx="480060" cy="7467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120015</xdr:colOff>
      <xdr:row>779</xdr:row>
      <xdr:rowOff>30481</xdr:rowOff>
    </xdr:from>
    <xdr:to>
      <xdr:col>1</xdr:col>
      <xdr:colOff>780925</xdr:colOff>
      <xdr:row>781</xdr:row>
      <xdr:rowOff>85728</xdr:rowOff>
    </xdr:to>
    <xdr:pic>
      <xdr:nvPicPr>
        <xdr:cNvPr id="74019" name="Picture 23040">
          <a:extLst>
            <a:ext uri="{FF2B5EF4-FFF2-40B4-BE49-F238E27FC236}">
              <a16:creationId xmlns:a16="http://schemas.microsoft.com/office/drawing/2014/main" id="{00000000-0008-0000-0000-000023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20015" y="194330956"/>
          <a:ext cx="660910" cy="4457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</xdr:colOff>
      <xdr:row>793</xdr:row>
      <xdr:rowOff>13335</xdr:rowOff>
    </xdr:from>
    <xdr:to>
      <xdr:col>1</xdr:col>
      <xdr:colOff>757707</xdr:colOff>
      <xdr:row>795</xdr:row>
      <xdr:rowOff>104775</xdr:rowOff>
    </xdr:to>
    <xdr:pic>
      <xdr:nvPicPr>
        <xdr:cNvPr id="74020" name="Picture 23200">
          <a:extLst>
            <a:ext uri="{FF2B5EF4-FFF2-40B4-BE49-F238E27FC236}">
              <a16:creationId xmlns:a16="http://schemas.microsoft.com/office/drawing/2014/main" id="{00000000-0008-0000-0000-000024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69545" y="196837935"/>
          <a:ext cx="588162" cy="48196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260985</xdr:colOff>
      <xdr:row>797</xdr:row>
      <xdr:rowOff>11430</xdr:rowOff>
    </xdr:from>
    <xdr:to>
      <xdr:col>1</xdr:col>
      <xdr:colOff>721474</xdr:colOff>
      <xdr:row>799</xdr:row>
      <xdr:rowOff>47625</xdr:rowOff>
    </xdr:to>
    <xdr:pic>
      <xdr:nvPicPr>
        <xdr:cNvPr id="74021" name="Picture 23201">
          <a:extLst>
            <a:ext uri="{FF2B5EF4-FFF2-40B4-BE49-F238E27FC236}">
              <a16:creationId xmlns:a16="http://schemas.microsoft.com/office/drawing/2014/main" id="{00000000-0008-0000-0000-000025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260985" y="198198105"/>
          <a:ext cx="460489" cy="4267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</xdr:colOff>
      <xdr:row>801</xdr:row>
      <xdr:rowOff>22860</xdr:rowOff>
    </xdr:from>
    <xdr:to>
      <xdr:col>1</xdr:col>
      <xdr:colOff>800100</xdr:colOff>
      <xdr:row>803</xdr:row>
      <xdr:rowOff>81156</xdr:rowOff>
    </xdr:to>
    <xdr:pic>
      <xdr:nvPicPr>
        <xdr:cNvPr id="74022" name="Picture 23202">
          <a:extLst>
            <a:ext uri="{FF2B5EF4-FFF2-40B4-BE49-F238E27FC236}">
              <a16:creationId xmlns:a16="http://schemas.microsoft.com/office/drawing/2014/main" id="{00000000-0008-0000-0000-000026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08585" y="198428610"/>
          <a:ext cx="691515" cy="4488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72166</xdr:colOff>
      <xdr:row>883</xdr:row>
      <xdr:rowOff>122369</xdr:rowOff>
    </xdr:from>
    <xdr:to>
      <xdr:col>1</xdr:col>
      <xdr:colOff>997324</xdr:colOff>
      <xdr:row>887</xdr:row>
      <xdr:rowOff>9215</xdr:rowOff>
    </xdr:to>
    <xdr:pic>
      <xdr:nvPicPr>
        <xdr:cNvPr id="74026" name="Picture 23526">
          <a:extLst>
            <a:ext uri="{FF2B5EF4-FFF2-40B4-BE49-F238E27FC236}">
              <a16:creationId xmlns:a16="http://schemas.microsoft.com/office/drawing/2014/main" id="{00000000-0008-0000-0000-00002A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84225" y="176547781"/>
          <a:ext cx="925158" cy="6600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1345</xdr:colOff>
      <xdr:row>889</xdr:row>
      <xdr:rowOff>168087</xdr:rowOff>
    </xdr:from>
    <xdr:to>
      <xdr:col>1</xdr:col>
      <xdr:colOff>950721</xdr:colOff>
      <xdr:row>893</xdr:row>
      <xdr:rowOff>145676</xdr:rowOff>
    </xdr:to>
    <xdr:pic>
      <xdr:nvPicPr>
        <xdr:cNvPr id="74027" name="Picture 23529">
          <a:extLst>
            <a:ext uri="{FF2B5EF4-FFF2-40B4-BE49-F238E27FC236}">
              <a16:creationId xmlns:a16="http://schemas.microsoft.com/office/drawing/2014/main" id="{00000000-0008-0000-0000-00002B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13404" y="177770116"/>
          <a:ext cx="949376" cy="73958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112058</xdr:colOff>
      <xdr:row>897</xdr:row>
      <xdr:rowOff>0</xdr:rowOff>
    </xdr:from>
    <xdr:to>
      <xdr:col>1</xdr:col>
      <xdr:colOff>1045402</xdr:colOff>
      <xdr:row>901</xdr:row>
      <xdr:rowOff>123265</xdr:rowOff>
    </xdr:to>
    <xdr:pic>
      <xdr:nvPicPr>
        <xdr:cNvPr id="74028" name="Picture 23532">
          <a:extLst>
            <a:ext uri="{FF2B5EF4-FFF2-40B4-BE49-F238E27FC236}">
              <a16:creationId xmlns:a16="http://schemas.microsoft.com/office/drawing/2014/main" id="{00000000-0008-0000-0000-00002C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12058" y="179148441"/>
          <a:ext cx="1045403" cy="88526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20545</xdr:colOff>
      <xdr:row>907</xdr:row>
      <xdr:rowOff>21789</xdr:rowOff>
    </xdr:from>
    <xdr:to>
      <xdr:col>1</xdr:col>
      <xdr:colOff>1080475</xdr:colOff>
      <xdr:row>911</xdr:row>
      <xdr:rowOff>78440</xdr:rowOff>
    </xdr:to>
    <xdr:pic>
      <xdr:nvPicPr>
        <xdr:cNvPr id="74029" name="Picture 23533">
          <a:extLst>
            <a:ext uri="{FF2B5EF4-FFF2-40B4-BE49-F238E27FC236}">
              <a16:creationId xmlns:a16="http://schemas.microsoft.com/office/drawing/2014/main" id="{00000000-0008-0000-0000-00002D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20545" y="181097642"/>
          <a:ext cx="1171989" cy="8186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126789</xdr:colOff>
      <xdr:row>912</xdr:row>
      <xdr:rowOff>148167</xdr:rowOff>
    </xdr:from>
    <xdr:to>
      <xdr:col>1</xdr:col>
      <xdr:colOff>1015389</xdr:colOff>
      <xdr:row>916</xdr:row>
      <xdr:rowOff>33617</xdr:rowOff>
    </xdr:to>
    <xdr:pic>
      <xdr:nvPicPr>
        <xdr:cNvPr id="74030" name="Picture 23534">
          <a:extLst>
            <a:ext uri="{FF2B5EF4-FFF2-40B4-BE49-F238E27FC236}">
              <a16:creationId xmlns:a16="http://schemas.microsoft.com/office/drawing/2014/main" id="{00000000-0008-0000-0000-00002E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38848" y="182176520"/>
          <a:ext cx="888600" cy="66986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193849</xdr:colOff>
      <xdr:row>917</xdr:row>
      <xdr:rowOff>55806</xdr:rowOff>
    </xdr:from>
    <xdr:to>
      <xdr:col>1</xdr:col>
      <xdr:colOff>802342</xdr:colOff>
      <xdr:row>919</xdr:row>
      <xdr:rowOff>89648</xdr:rowOff>
    </xdr:to>
    <xdr:pic>
      <xdr:nvPicPr>
        <xdr:cNvPr id="74031" name="Picture 23535">
          <a:extLst>
            <a:ext uri="{FF2B5EF4-FFF2-40B4-BE49-F238E27FC236}">
              <a16:creationId xmlns:a16="http://schemas.microsoft.com/office/drawing/2014/main" id="{00000000-0008-0000-0000-00002F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305908" y="183070277"/>
          <a:ext cx="608493" cy="65016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56613</xdr:colOff>
      <xdr:row>920</xdr:row>
      <xdr:rowOff>56029</xdr:rowOff>
    </xdr:from>
    <xdr:to>
      <xdr:col>1</xdr:col>
      <xdr:colOff>806824</xdr:colOff>
      <xdr:row>923</xdr:row>
      <xdr:rowOff>53274</xdr:rowOff>
    </xdr:to>
    <xdr:pic>
      <xdr:nvPicPr>
        <xdr:cNvPr id="74032" name="Picture 23536">
          <a:extLst>
            <a:ext uri="{FF2B5EF4-FFF2-40B4-BE49-F238E27FC236}">
              <a16:creationId xmlns:a16="http://schemas.microsoft.com/office/drawing/2014/main" id="{00000000-0008-0000-0000-000030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68672" y="183888529"/>
          <a:ext cx="750211" cy="5799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</xdr:colOff>
      <xdr:row>926</xdr:row>
      <xdr:rowOff>0</xdr:rowOff>
    </xdr:from>
    <xdr:to>
      <xdr:col>1</xdr:col>
      <xdr:colOff>941294</xdr:colOff>
      <xdr:row>929</xdr:row>
      <xdr:rowOff>57690</xdr:rowOff>
    </xdr:to>
    <xdr:pic>
      <xdr:nvPicPr>
        <xdr:cNvPr id="74033" name="Picture 23539">
          <a:extLst>
            <a:ext uri="{FF2B5EF4-FFF2-40B4-BE49-F238E27FC236}">
              <a16:creationId xmlns:a16="http://schemas.microsoft.com/office/drawing/2014/main" id="{00000000-0008-0000-0000-000031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03499" y="185009118"/>
          <a:ext cx="849854" cy="6291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</xdr:colOff>
      <xdr:row>931</xdr:row>
      <xdr:rowOff>190501</xdr:rowOff>
    </xdr:from>
    <xdr:to>
      <xdr:col>1</xdr:col>
      <xdr:colOff>908914</xdr:colOff>
      <xdr:row>935</xdr:row>
      <xdr:rowOff>22481</xdr:rowOff>
    </xdr:to>
    <xdr:pic>
      <xdr:nvPicPr>
        <xdr:cNvPr id="74034" name="Picture 23542">
          <a:extLst>
            <a:ext uri="{FF2B5EF4-FFF2-40B4-BE49-F238E27FC236}">
              <a16:creationId xmlns:a16="http://schemas.microsoft.com/office/drawing/2014/main" id="{00000000-0008-0000-0000-000032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26358" y="186163325"/>
          <a:ext cx="794615" cy="6051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111274</xdr:colOff>
      <xdr:row>937</xdr:row>
      <xdr:rowOff>3362</xdr:rowOff>
    </xdr:from>
    <xdr:to>
      <xdr:col>1</xdr:col>
      <xdr:colOff>798979</xdr:colOff>
      <xdr:row>939</xdr:row>
      <xdr:rowOff>190967</xdr:rowOff>
    </xdr:to>
    <xdr:pic>
      <xdr:nvPicPr>
        <xdr:cNvPr id="74035" name="Picture 23543">
          <a:extLst>
            <a:ext uri="{FF2B5EF4-FFF2-40B4-BE49-F238E27FC236}">
              <a16:creationId xmlns:a16="http://schemas.microsoft.com/office/drawing/2014/main" id="{00000000-0008-0000-0000-000033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23333" y="187141597"/>
          <a:ext cx="687705" cy="57981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</xdr:colOff>
      <xdr:row>427</xdr:row>
      <xdr:rowOff>47626</xdr:rowOff>
    </xdr:from>
    <xdr:to>
      <xdr:col>1</xdr:col>
      <xdr:colOff>790575</xdr:colOff>
      <xdr:row>429</xdr:row>
      <xdr:rowOff>162958</xdr:rowOff>
    </xdr:to>
    <xdr:pic>
      <xdr:nvPicPr>
        <xdr:cNvPr id="74037" name="Рисунок 162">
          <a:extLst>
            <a:ext uri="{FF2B5EF4-FFF2-40B4-BE49-F238E27FC236}">
              <a16:creationId xmlns:a16="http://schemas.microsoft.com/office/drawing/2014/main" id="{00000000-0008-0000-0000-000035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87630" y="108946951"/>
          <a:ext cx="702945" cy="515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</xdr:colOff>
      <xdr:row>423</xdr:row>
      <xdr:rowOff>49530</xdr:rowOff>
    </xdr:from>
    <xdr:to>
      <xdr:col>1</xdr:col>
      <xdr:colOff>704850</xdr:colOff>
      <xdr:row>425</xdr:row>
      <xdr:rowOff>160955</xdr:rowOff>
    </xdr:to>
    <xdr:pic>
      <xdr:nvPicPr>
        <xdr:cNvPr id="74038" name="Рисунок 1">
          <a:extLst>
            <a:ext uri="{FF2B5EF4-FFF2-40B4-BE49-F238E27FC236}">
              <a16:creationId xmlns:a16="http://schemas.microsoft.com/office/drawing/2014/main" id="{00000000-0008-0000-0000-000036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97155" y="108158280"/>
          <a:ext cx="607695" cy="511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</xdr:colOff>
      <xdr:row>951</xdr:row>
      <xdr:rowOff>21167</xdr:rowOff>
    </xdr:from>
    <xdr:to>
      <xdr:col>1</xdr:col>
      <xdr:colOff>815340</xdr:colOff>
      <xdr:row>954</xdr:row>
      <xdr:rowOff>79373</xdr:rowOff>
    </xdr:to>
    <xdr:pic>
      <xdr:nvPicPr>
        <xdr:cNvPr id="74042" name="Рисунок 5">
          <a:extLst>
            <a:ext uri="{FF2B5EF4-FFF2-40B4-BE49-F238E27FC236}">
              <a16:creationId xmlns:a16="http://schemas.microsoft.com/office/drawing/2014/main" id="{00000000-0008-0000-0000-00003A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712893" y="204332417"/>
          <a:ext cx="716280" cy="602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47413</xdr:colOff>
      <xdr:row>956</xdr:row>
      <xdr:rowOff>60960</xdr:rowOff>
    </xdr:from>
    <xdr:to>
      <xdr:col>1</xdr:col>
      <xdr:colOff>809413</xdr:colOff>
      <xdr:row>960</xdr:row>
      <xdr:rowOff>2860</xdr:rowOff>
    </xdr:to>
    <xdr:pic>
      <xdr:nvPicPr>
        <xdr:cNvPr id="74043" name="Рисунок 6">
          <a:extLst>
            <a:ext uri="{FF2B5EF4-FFF2-40B4-BE49-F238E27FC236}">
              <a16:creationId xmlns:a16="http://schemas.microsoft.com/office/drawing/2014/main" id="{00000000-0008-0000-0000-00003B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661246" y="205303543"/>
          <a:ext cx="762000" cy="658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34926</xdr:colOff>
      <xdr:row>963</xdr:row>
      <xdr:rowOff>7621</xdr:rowOff>
    </xdr:from>
    <xdr:to>
      <xdr:col>1</xdr:col>
      <xdr:colOff>656168</xdr:colOff>
      <xdr:row>965</xdr:row>
      <xdr:rowOff>74612</xdr:rowOff>
    </xdr:to>
    <xdr:pic>
      <xdr:nvPicPr>
        <xdr:cNvPr id="74044" name="Рисунок 7">
          <a:extLst>
            <a:ext uri="{FF2B5EF4-FFF2-40B4-BE49-F238E27FC236}">
              <a16:creationId xmlns:a16="http://schemas.microsoft.com/office/drawing/2014/main" id="{00000000-0008-0000-0000-00003C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648759" y="206308538"/>
          <a:ext cx="621242" cy="428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27516</xdr:colOff>
      <xdr:row>968</xdr:row>
      <xdr:rowOff>77471</xdr:rowOff>
    </xdr:from>
    <xdr:to>
      <xdr:col>1</xdr:col>
      <xdr:colOff>781896</xdr:colOff>
      <xdr:row>971</xdr:row>
      <xdr:rowOff>57150</xdr:rowOff>
    </xdr:to>
    <xdr:pic>
      <xdr:nvPicPr>
        <xdr:cNvPr id="74045" name="Рисунок 8">
          <a:extLst>
            <a:ext uri="{FF2B5EF4-FFF2-40B4-BE49-F238E27FC236}">
              <a16:creationId xmlns:a16="http://schemas.microsoft.com/office/drawing/2014/main" id="{00000000-0008-0000-0000-00003D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641349" y="207150971"/>
          <a:ext cx="754380" cy="522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</xdr:colOff>
      <xdr:row>976</xdr:row>
      <xdr:rowOff>30480</xdr:rowOff>
    </xdr:from>
    <xdr:to>
      <xdr:col>1</xdr:col>
      <xdr:colOff>891540</xdr:colOff>
      <xdr:row>980</xdr:row>
      <xdr:rowOff>16933</xdr:rowOff>
    </xdr:to>
    <xdr:pic>
      <xdr:nvPicPr>
        <xdr:cNvPr id="74046" name="Рисунок 9">
          <a:extLst>
            <a:ext uri="{FF2B5EF4-FFF2-40B4-BE49-F238E27FC236}">
              <a16:creationId xmlns:a16="http://schemas.microsoft.com/office/drawing/2014/main" id="{00000000-0008-0000-0000-00003E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60960" y="277101300"/>
          <a:ext cx="830580" cy="701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987</xdr:row>
      <xdr:rowOff>45720</xdr:rowOff>
    </xdr:from>
    <xdr:to>
      <xdr:col>1</xdr:col>
      <xdr:colOff>883920</xdr:colOff>
      <xdr:row>990</xdr:row>
      <xdr:rowOff>13968</xdr:rowOff>
    </xdr:to>
    <xdr:pic>
      <xdr:nvPicPr>
        <xdr:cNvPr id="74047" name="Рисунок 10">
          <a:extLst>
            <a:ext uri="{FF2B5EF4-FFF2-40B4-BE49-F238E27FC236}">
              <a16:creationId xmlns:a16="http://schemas.microsoft.com/office/drawing/2014/main" id="{00000000-0008-0000-0000-00003F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38100" y="280408380"/>
          <a:ext cx="84582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81691</xdr:colOff>
      <xdr:row>992</xdr:row>
      <xdr:rowOff>19275</xdr:rowOff>
    </xdr:from>
    <xdr:to>
      <xdr:col>1</xdr:col>
      <xdr:colOff>904651</xdr:colOff>
      <xdr:row>995</xdr:row>
      <xdr:rowOff>150932</xdr:rowOff>
    </xdr:to>
    <xdr:pic>
      <xdr:nvPicPr>
        <xdr:cNvPr id="74048" name="Рисунок 11">
          <a:extLst>
            <a:ext uri="{FF2B5EF4-FFF2-40B4-BE49-F238E27FC236}">
              <a16:creationId xmlns:a16="http://schemas.microsoft.com/office/drawing/2014/main" id="{00000000-0008-0000-0000-000040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93750" y="196379951"/>
          <a:ext cx="822960" cy="66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135255</xdr:colOff>
      <xdr:row>998</xdr:row>
      <xdr:rowOff>95250</xdr:rowOff>
    </xdr:from>
    <xdr:to>
      <xdr:col>1</xdr:col>
      <xdr:colOff>866775</xdr:colOff>
      <xdr:row>1002</xdr:row>
      <xdr:rowOff>29980</xdr:rowOff>
    </xdr:to>
    <xdr:pic>
      <xdr:nvPicPr>
        <xdr:cNvPr id="74050" name="Рисунок 13">
          <a:extLst>
            <a:ext uri="{FF2B5EF4-FFF2-40B4-BE49-F238E27FC236}">
              <a16:creationId xmlns:a16="http://schemas.microsoft.com/office/drawing/2014/main" id="{00000000-0008-0000-0000-000042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35255" y="233362500"/>
          <a:ext cx="731520" cy="679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150283</xdr:colOff>
      <xdr:row>1005</xdr:row>
      <xdr:rowOff>116416</xdr:rowOff>
    </xdr:from>
    <xdr:to>
      <xdr:col>1</xdr:col>
      <xdr:colOff>846666</xdr:colOff>
      <xdr:row>1008</xdr:row>
      <xdr:rowOff>121026</xdr:rowOff>
    </xdr:to>
    <xdr:pic>
      <xdr:nvPicPr>
        <xdr:cNvPr id="74051" name="Рисунок 14">
          <a:extLst>
            <a:ext uri="{FF2B5EF4-FFF2-40B4-BE49-F238E27FC236}">
              <a16:creationId xmlns:a16="http://schemas.microsoft.com/office/drawing/2014/main" id="{00000000-0008-0000-0000-000043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50283" y="214714666"/>
          <a:ext cx="696383" cy="548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221827</xdr:colOff>
      <xdr:row>1010</xdr:row>
      <xdr:rowOff>74083</xdr:rowOff>
    </xdr:from>
    <xdr:to>
      <xdr:col>1</xdr:col>
      <xdr:colOff>836083</xdr:colOff>
      <xdr:row>1013</xdr:row>
      <xdr:rowOff>5769</xdr:rowOff>
    </xdr:to>
    <xdr:pic>
      <xdr:nvPicPr>
        <xdr:cNvPr id="74052" name="Рисунок 15">
          <a:extLst>
            <a:ext uri="{FF2B5EF4-FFF2-40B4-BE49-F238E27FC236}">
              <a16:creationId xmlns:a16="http://schemas.microsoft.com/office/drawing/2014/main" id="{00000000-0008-0000-0000-000044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221827" y="215582500"/>
          <a:ext cx="614256" cy="467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190064</xdr:colOff>
      <xdr:row>849</xdr:row>
      <xdr:rowOff>49919</xdr:rowOff>
    </xdr:from>
    <xdr:to>
      <xdr:col>1</xdr:col>
      <xdr:colOff>784412</xdr:colOff>
      <xdr:row>850</xdr:row>
      <xdr:rowOff>392207</xdr:rowOff>
    </xdr:to>
    <xdr:pic>
      <xdr:nvPicPr>
        <xdr:cNvPr id="74053" name="Рисунок 160">
          <a:extLst>
            <a:ext uri="{FF2B5EF4-FFF2-40B4-BE49-F238E27FC236}">
              <a16:creationId xmlns:a16="http://schemas.microsoft.com/office/drawing/2014/main" id="{00000000-0008-0000-0000-000045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302123" y="169281154"/>
          <a:ext cx="594348" cy="768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</xdr:colOff>
      <xdr:row>194</xdr:row>
      <xdr:rowOff>76200</xdr:rowOff>
    </xdr:from>
    <xdr:to>
      <xdr:col>1</xdr:col>
      <xdr:colOff>815340</xdr:colOff>
      <xdr:row>197</xdr:row>
      <xdr:rowOff>38100</xdr:rowOff>
    </xdr:to>
    <xdr:pic>
      <xdr:nvPicPr>
        <xdr:cNvPr id="74055" name="Рисунок 164">
          <a:extLst>
            <a:ext uri="{FF2B5EF4-FFF2-40B4-BE49-F238E27FC236}">
              <a16:creationId xmlns:a16="http://schemas.microsoft.com/office/drawing/2014/main" id="{00000000-0008-0000-0000-000047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9060" y="170611800"/>
          <a:ext cx="71628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268605</xdr:colOff>
      <xdr:row>708</xdr:row>
      <xdr:rowOff>70485</xdr:rowOff>
    </xdr:from>
    <xdr:to>
      <xdr:col>1</xdr:col>
      <xdr:colOff>638175</xdr:colOff>
      <xdr:row>713</xdr:row>
      <xdr:rowOff>18286</xdr:rowOff>
    </xdr:to>
    <xdr:pic>
      <xdr:nvPicPr>
        <xdr:cNvPr id="74057" name="Рисунок 2">
          <a:extLst>
            <a:ext uri="{FF2B5EF4-FFF2-40B4-BE49-F238E27FC236}">
              <a16:creationId xmlns:a16="http://schemas.microsoft.com/office/drawing/2014/main" id="{00000000-0008-0000-0000-000049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68605" y="165281610"/>
          <a:ext cx="369570" cy="9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220980</xdr:colOff>
      <xdr:row>729</xdr:row>
      <xdr:rowOff>17145</xdr:rowOff>
    </xdr:from>
    <xdr:to>
      <xdr:col>1</xdr:col>
      <xdr:colOff>723900</xdr:colOff>
      <xdr:row>733</xdr:row>
      <xdr:rowOff>11650</xdr:rowOff>
    </xdr:to>
    <xdr:pic>
      <xdr:nvPicPr>
        <xdr:cNvPr id="74058" name="Рисунок 179">
          <a:extLst>
            <a:ext uri="{FF2B5EF4-FFF2-40B4-BE49-F238E27FC236}">
              <a16:creationId xmlns:a16="http://schemas.microsoft.com/office/drawing/2014/main" id="{00000000-0008-0000-0000-00004A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220980" y="167009445"/>
          <a:ext cx="502920" cy="775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231518</xdr:colOff>
      <xdr:row>749</xdr:row>
      <xdr:rowOff>51802</xdr:rowOff>
    </xdr:from>
    <xdr:to>
      <xdr:col>1</xdr:col>
      <xdr:colOff>654248</xdr:colOff>
      <xdr:row>752</xdr:row>
      <xdr:rowOff>149895</xdr:rowOff>
    </xdr:to>
    <xdr:pic>
      <xdr:nvPicPr>
        <xdr:cNvPr id="74060" name="Рисунок 182">
          <a:extLst>
            <a:ext uri="{FF2B5EF4-FFF2-40B4-BE49-F238E27FC236}">
              <a16:creationId xmlns:a16="http://schemas.microsoft.com/office/drawing/2014/main" id="{00000000-0008-0000-0000-00004C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lum bright="10000"/>
        </a:blip>
        <a:srcRect/>
        <a:stretch>
          <a:fillRect/>
        </a:stretch>
      </xdr:blipFill>
      <xdr:spPr bwMode="auto">
        <a:xfrm rot="283214">
          <a:off x="231518" y="173311552"/>
          <a:ext cx="422730" cy="68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</xdr:colOff>
      <xdr:row>662</xdr:row>
      <xdr:rowOff>154305</xdr:rowOff>
    </xdr:from>
    <xdr:to>
      <xdr:col>1</xdr:col>
      <xdr:colOff>657225</xdr:colOff>
      <xdr:row>665</xdr:row>
      <xdr:rowOff>154750</xdr:rowOff>
    </xdr:to>
    <xdr:pic>
      <xdr:nvPicPr>
        <xdr:cNvPr id="74063" name="Рисунок 187">
          <a:extLst>
            <a:ext uri="{FF2B5EF4-FFF2-40B4-BE49-F238E27FC236}">
              <a16:creationId xmlns:a16="http://schemas.microsoft.com/office/drawing/2014/main" id="{00000000-0008-0000-0000-00004F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13360" y="161755455"/>
          <a:ext cx="558165" cy="59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</xdr:colOff>
      <xdr:row>522</xdr:row>
      <xdr:rowOff>95398</xdr:rowOff>
    </xdr:from>
    <xdr:to>
      <xdr:col>1</xdr:col>
      <xdr:colOff>923925</xdr:colOff>
      <xdr:row>524</xdr:row>
      <xdr:rowOff>129395</xdr:rowOff>
    </xdr:to>
    <xdr:pic>
      <xdr:nvPicPr>
        <xdr:cNvPr id="74068" name="Рисунок 139">
          <a:extLst>
            <a:ext uri="{FF2B5EF4-FFF2-40B4-BE49-F238E27FC236}">
              <a16:creationId xmlns:a16="http://schemas.microsoft.com/office/drawing/2014/main" id="{00000000-0008-0000-0000-000054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12395" y="127054123"/>
          <a:ext cx="811530" cy="424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125730</xdr:colOff>
      <xdr:row>527</xdr:row>
      <xdr:rowOff>108585</xdr:rowOff>
    </xdr:from>
    <xdr:to>
      <xdr:col>1</xdr:col>
      <xdr:colOff>933450</xdr:colOff>
      <xdr:row>529</xdr:row>
      <xdr:rowOff>97491</xdr:rowOff>
    </xdr:to>
    <xdr:pic>
      <xdr:nvPicPr>
        <xdr:cNvPr id="74069" name="Рисунок 140">
          <a:extLst>
            <a:ext uri="{FF2B5EF4-FFF2-40B4-BE49-F238E27FC236}">
              <a16:creationId xmlns:a16="http://schemas.microsoft.com/office/drawing/2014/main" id="{00000000-0008-0000-0000-000055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25730" y="128048385"/>
          <a:ext cx="807720" cy="379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42353</xdr:colOff>
      <xdr:row>532</xdr:row>
      <xdr:rowOff>104776</xdr:rowOff>
    </xdr:from>
    <xdr:to>
      <xdr:col>1</xdr:col>
      <xdr:colOff>870106</xdr:colOff>
      <xdr:row>534</xdr:row>
      <xdr:rowOff>21923</xdr:rowOff>
    </xdr:to>
    <xdr:pic>
      <xdr:nvPicPr>
        <xdr:cNvPr id="74071" name="Рисунок 150">
          <a:extLst>
            <a:ext uri="{FF2B5EF4-FFF2-40B4-BE49-F238E27FC236}">
              <a16:creationId xmlns:a16="http://schemas.microsoft.com/office/drawing/2014/main" id="{00000000-0008-0000-0000-000057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56653" y="125349001"/>
          <a:ext cx="827753" cy="307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154305</xdr:colOff>
      <xdr:row>537</xdr:row>
      <xdr:rowOff>59055</xdr:rowOff>
    </xdr:from>
    <xdr:to>
      <xdr:col>1</xdr:col>
      <xdr:colOff>742950</xdr:colOff>
      <xdr:row>540</xdr:row>
      <xdr:rowOff>73706</xdr:rowOff>
    </xdr:to>
    <xdr:pic>
      <xdr:nvPicPr>
        <xdr:cNvPr id="74075" name="Picture 1449" descr="43">
          <a:extLst>
            <a:ext uri="{FF2B5EF4-FFF2-40B4-BE49-F238E27FC236}">
              <a16:creationId xmlns:a16="http://schemas.microsoft.com/office/drawing/2014/main" id="{00000000-0008-0000-0000-00005B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54305" y="132342255"/>
          <a:ext cx="588645" cy="605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542</xdr:row>
      <xdr:rowOff>114300</xdr:rowOff>
    </xdr:from>
    <xdr:to>
      <xdr:col>1</xdr:col>
      <xdr:colOff>838200</xdr:colOff>
      <xdr:row>545</xdr:row>
      <xdr:rowOff>80009</xdr:rowOff>
    </xdr:to>
    <xdr:pic>
      <xdr:nvPicPr>
        <xdr:cNvPr id="74076" name="Picture 1448" descr="40">
          <a:extLst>
            <a:ext uri="{FF2B5EF4-FFF2-40B4-BE49-F238E27FC236}">
              <a16:creationId xmlns:a16="http://schemas.microsoft.com/office/drawing/2014/main" id="{00000000-0008-0000-0000-00005C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82880" y="140954760"/>
          <a:ext cx="6553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201931</xdr:colOff>
      <xdr:row>567</xdr:row>
      <xdr:rowOff>180606</xdr:rowOff>
    </xdr:from>
    <xdr:to>
      <xdr:col>1</xdr:col>
      <xdr:colOff>752475</xdr:colOff>
      <xdr:row>570</xdr:row>
      <xdr:rowOff>6467</xdr:rowOff>
    </xdr:to>
    <xdr:pic>
      <xdr:nvPicPr>
        <xdr:cNvPr id="74077" name="Рисунок 26">
          <a:extLst>
            <a:ext uri="{FF2B5EF4-FFF2-40B4-BE49-F238E27FC236}">
              <a16:creationId xmlns:a16="http://schemas.microsoft.com/office/drawing/2014/main" id="{00000000-0008-0000-0000-00005D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01931" y="136178556"/>
          <a:ext cx="550544" cy="4259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230506</xdr:colOff>
      <xdr:row>570</xdr:row>
      <xdr:rowOff>180975</xdr:rowOff>
    </xdr:from>
    <xdr:to>
      <xdr:col>1</xdr:col>
      <xdr:colOff>866776</xdr:colOff>
      <xdr:row>573</xdr:row>
      <xdr:rowOff>48677</xdr:rowOff>
    </xdr:to>
    <xdr:pic>
      <xdr:nvPicPr>
        <xdr:cNvPr id="74078" name="Рисунок 25">
          <a:extLst>
            <a:ext uri="{FF2B5EF4-FFF2-40B4-BE49-F238E27FC236}">
              <a16:creationId xmlns:a16="http://schemas.microsoft.com/office/drawing/2014/main" id="{00000000-0008-0000-0000-00005E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30506" y="136779000"/>
          <a:ext cx="636270" cy="4677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</xdr:colOff>
      <xdr:row>641</xdr:row>
      <xdr:rowOff>144780</xdr:rowOff>
    </xdr:from>
    <xdr:to>
      <xdr:col>1</xdr:col>
      <xdr:colOff>990600</xdr:colOff>
      <xdr:row>644</xdr:row>
      <xdr:rowOff>180762</xdr:rowOff>
    </xdr:to>
    <xdr:pic>
      <xdr:nvPicPr>
        <xdr:cNvPr id="74081" name="Рисунок 143">
          <a:extLst>
            <a:ext uri="{FF2B5EF4-FFF2-40B4-BE49-F238E27FC236}">
              <a16:creationId xmlns:a16="http://schemas.microsoft.com/office/drawing/2014/main" id="{00000000-0008-0000-0000-000061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9060" y="208026000"/>
          <a:ext cx="89154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</xdr:colOff>
      <xdr:row>657</xdr:row>
      <xdr:rowOff>7620</xdr:rowOff>
    </xdr:from>
    <xdr:to>
      <xdr:col>1</xdr:col>
      <xdr:colOff>714375</xdr:colOff>
      <xdr:row>660</xdr:row>
      <xdr:rowOff>53010</xdr:rowOff>
    </xdr:to>
    <xdr:pic>
      <xdr:nvPicPr>
        <xdr:cNvPr id="74082" name="Рисунок 145">
          <a:extLst>
            <a:ext uri="{FF2B5EF4-FFF2-40B4-BE49-F238E27FC236}">
              <a16:creationId xmlns:a16="http://schemas.microsoft.com/office/drawing/2014/main" id="{00000000-0008-0000-0000-0000622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9060" y="176058195"/>
          <a:ext cx="615315" cy="626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</xdr:colOff>
      <xdr:row>356</xdr:row>
      <xdr:rowOff>139065</xdr:rowOff>
    </xdr:from>
    <xdr:to>
      <xdr:col>1</xdr:col>
      <xdr:colOff>929640</xdr:colOff>
      <xdr:row>358</xdr:row>
      <xdr:rowOff>120012</xdr:rowOff>
    </xdr:to>
    <xdr:pic>
      <xdr:nvPicPr>
        <xdr:cNvPr id="74086" name="Рисунок 2">
          <a:extLst>
            <a:ext uri="{FF2B5EF4-FFF2-40B4-BE49-F238E27FC236}">
              <a16:creationId xmlns:a16="http://schemas.microsoft.com/office/drawing/2014/main" id="{00000000-0008-0000-0000-000066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2860" y="94493715"/>
          <a:ext cx="906780" cy="38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818</xdr:row>
      <xdr:rowOff>212</xdr:rowOff>
    </xdr:from>
    <xdr:to>
      <xdr:col>1</xdr:col>
      <xdr:colOff>963083</xdr:colOff>
      <xdr:row>820</xdr:row>
      <xdr:rowOff>164811</xdr:rowOff>
    </xdr:to>
    <xdr:pic>
      <xdr:nvPicPr>
        <xdr:cNvPr id="160" name="Рисунок 159" descr="SD8002_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04107" y="162972962"/>
          <a:ext cx="867833" cy="559206"/>
        </a:xfrm>
        <a:prstGeom prst="rect">
          <a:avLst/>
        </a:prstGeom>
      </xdr:spPr>
    </xdr:pic>
    <xdr:clientData/>
  </xdr:twoCellAnchor>
  <xdr:twoCellAnchor editAs="oneCell">
    <xdr:from>
      <xdr:col>1</xdr:col>
      <xdr:colOff>65304</xdr:colOff>
      <xdr:row>823</xdr:row>
      <xdr:rowOff>165410</xdr:rowOff>
    </xdr:from>
    <xdr:to>
      <xdr:col>1</xdr:col>
      <xdr:colOff>620325</xdr:colOff>
      <xdr:row>826</xdr:row>
      <xdr:rowOff>70547</xdr:rowOff>
    </xdr:to>
    <xdr:pic>
      <xdr:nvPicPr>
        <xdr:cNvPr id="161" name="Рисунок 160" descr="SD8003_1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77363" y="164040234"/>
          <a:ext cx="555021" cy="521460"/>
        </a:xfrm>
        <a:prstGeom prst="rect">
          <a:avLst/>
        </a:prstGeom>
      </xdr:spPr>
    </xdr:pic>
    <xdr:clientData/>
  </xdr:twoCellAnchor>
  <xdr:twoCellAnchor editAs="oneCell">
    <xdr:from>
      <xdr:col>1</xdr:col>
      <xdr:colOff>122768</xdr:colOff>
      <xdr:row>829</xdr:row>
      <xdr:rowOff>5505</xdr:rowOff>
    </xdr:from>
    <xdr:to>
      <xdr:col>1</xdr:col>
      <xdr:colOff>698500</xdr:colOff>
      <xdr:row>831</xdr:row>
      <xdr:rowOff>162070</xdr:rowOff>
    </xdr:to>
    <xdr:pic>
      <xdr:nvPicPr>
        <xdr:cNvPr id="162" name="Рисунок 161" descr="SD8004.jp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22768" y="35300922"/>
          <a:ext cx="575732" cy="53756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472</xdr:row>
      <xdr:rowOff>87085</xdr:rowOff>
    </xdr:from>
    <xdr:to>
      <xdr:col>1</xdr:col>
      <xdr:colOff>931545</xdr:colOff>
      <xdr:row>477</xdr:row>
      <xdr:rowOff>155665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682" y="96480085"/>
          <a:ext cx="807720" cy="102108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559</xdr:row>
      <xdr:rowOff>198121</xdr:rowOff>
    </xdr:from>
    <xdr:to>
      <xdr:col>1</xdr:col>
      <xdr:colOff>641908</xdr:colOff>
      <xdr:row>562</xdr:row>
      <xdr:rowOff>152401</xdr:rowOff>
    </xdr:to>
    <xdr:pic>
      <xdr:nvPicPr>
        <xdr:cNvPr id="164" name="Рисунок 163" descr="EU.ST6122-1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lum bright="10000"/>
        </a:blip>
        <a:stretch>
          <a:fillRect/>
        </a:stretch>
      </xdr:blipFill>
      <xdr:spPr>
        <a:xfrm>
          <a:off x="200026" y="134614921"/>
          <a:ext cx="441882" cy="544829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</xdr:colOff>
      <xdr:row>563</xdr:row>
      <xdr:rowOff>194311</xdr:rowOff>
    </xdr:from>
    <xdr:to>
      <xdr:col>1</xdr:col>
      <xdr:colOff>695325</xdr:colOff>
      <xdr:row>566</xdr:row>
      <xdr:rowOff>152832</xdr:rowOff>
    </xdr:to>
    <xdr:pic>
      <xdr:nvPicPr>
        <xdr:cNvPr id="165" name="Рисунок 164" descr="EU.ST6123-1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lum bright="10000"/>
        </a:blip>
        <a:stretch>
          <a:fillRect/>
        </a:stretch>
      </xdr:blipFill>
      <xdr:spPr>
        <a:xfrm>
          <a:off x="188595" y="135401686"/>
          <a:ext cx="506730" cy="549072"/>
        </a:xfrm>
        <a:prstGeom prst="rect">
          <a:avLst/>
        </a:prstGeom>
      </xdr:spPr>
    </xdr:pic>
    <xdr:clientData/>
  </xdr:twoCellAnchor>
  <xdr:twoCellAnchor editAs="oneCell">
    <xdr:from>
      <xdr:col>1</xdr:col>
      <xdr:colOff>203835</xdr:colOff>
      <xdr:row>607</xdr:row>
      <xdr:rowOff>41911</xdr:rowOff>
    </xdr:from>
    <xdr:to>
      <xdr:col>1</xdr:col>
      <xdr:colOff>752475</xdr:colOff>
      <xdr:row>609</xdr:row>
      <xdr:rowOff>169326</xdr:rowOff>
    </xdr:to>
    <xdr:pic>
      <xdr:nvPicPr>
        <xdr:cNvPr id="166" name="Рисунок 165" descr="EU.ST6120-1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03835" y="143764636"/>
          <a:ext cx="548640" cy="517939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610</xdr:row>
      <xdr:rowOff>165736</xdr:rowOff>
    </xdr:from>
    <xdr:to>
      <xdr:col>1</xdr:col>
      <xdr:colOff>873201</xdr:colOff>
      <xdr:row>613</xdr:row>
      <xdr:rowOff>123825</xdr:rowOff>
    </xdr:to>
    <xdr:pic>
      <xdr:nvPicPr>
        <xdr:cNvPr id="167" name="Рисунок 166" descr="EU.ST6121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75260" y="144669511"/>
          <a:ext cx="697941" cy="548639"/>
        </a:xfrm>
        <a:prstGeom prst="rect">
          <a:avLst/>
        </a:prstGeom>
      </xdr:spPr>
    </xdr:pic>
    <xdr:clientData/>
  </xdr:twoCellAnchor>
  <xdr:twoCellAnchor editAs="oneCell">
    <xdr:from>
      <xdr:col>1</xdr:col>
      <xdr:colOff>131446</xdr:colOff>
      <xdr:row>585</xdr:row>
      <xdr:rowOff>59056</xdr:rowOff>
    </xdr:from>
    <xdr:to>
      <xdr:col>1</xdr:col>
      <xdr:colOff>752476</xdr:colOff>
      <xdr:row>587</xdr:row>
      <xdr:rowOff>176776</xdr:rowOff>
    </xdr:to>
    <xdr:pic>
      <xdr:nvPicPr>
        <xdr:cNvPr id="168" name="Рисунок 167" descr="EU.ST6130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1446" y="139981306"/>
          <a:ext cx="621030" cy="508245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127636</xdr:colOff>
      <xdr:row>589</xdr:row>
      <xdr:rowOff>55246</xdr:rowOff>
    </xdr:from>
    <xdr:to>
      <xdr:col>1</xdr:col>
      <xdr:colOff>828675</xdr:colOff>
      <xdr:row>591</xdr:row>
      <xdr:rowOff>120594</xdr:rowOff>
    </xdr:to>
    <xdr:pic>
      <xdr:nvPicPr>
        <xdr:cNvPr id="169" name="Рисунок 168" descr="EU.ST6131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27636" y="140768071"/>
          <a:ext cx="701039" cy="455872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</xdr:colOff>
      <xdr:row>653</xdr:row>
      <xdr:rowOff>0</xdr:rowOff>
    </xdr:from>
    <xdr:to>
      <xdr:col>1</xdr:col>
      <xdr:colOff>581025</xdr:colOff>
      <xdr:row>656</xdr:row>
      <xdr:rowOff>10148</xdr:rowOff>
    </xdr:to>
    <xdr:pic>
      <xdr:nvPicPr>
        <xdr:cNvPr id="171" name="Рисунок 170" descr="Обратник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78130" y="159741870"/>
          <a:ext cx="417195" cy="58949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134408</xdr:colOff>
      <xdr:row>766</xdr:row>
      <xdr:rowOff>191558</xdr:rowOff>
    </xdr:from>
    <xdr:to>
      <xdr:col>1</xdr:col>
      <xdr:colOff>696383</xdr:colOff>
      <xdr:row>770</xdr:row>
      <xdr:rowOff>98117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241" y="188373808"/>
          <a:ext cx="561975" cy="689726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137584</xdr:colOff>
      <xdr:row>762</xdr:row>
      <xdr:rowOff>59267</xdr:rowOff>
    </xdr:from>
    <xdr:to>
      <xdr:col>1</xdr:col>
      <xdr:colOff>728134</xdr:colOff>
      <xdr:row>765</xdr:row>
      <xdr:rowOff>90235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40" b="6999"/>
        <a:stretch/>
      </xdr:blipFill>
      <xdr:spPr>
        <a:xfrm>
          <a:off x="751417" y="187458350"/>
          <a:ext cx="590550" cy="61411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146049</xdr:colOff>
      <xdr:row>757</xdr:row>
      <xdr:rowOff>21168</xdr:rowOff>
    </xdr:from>
    <xdr:to>
      <xdr:col>1</xdr:col>
      <xdr:colOff>688974</xdr:colOff>
      <xdr:row>760</xdr:row>
      <xdr:rowOff>104300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882" y="186436001"/>
          <a:ext cx="542925" cy="66627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774</xdr:row>
      <xdr:rowOff>21166</xdr:rowOff>
    </xdr:from>
    <xdr:to>
      <xdr:col>1</xdr:col>
      <xdr:colOff>813858</xdr:colOff>
      <xdr:row>777</xdr:row>
      <xdr:rowOff>12811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189812083"/>
          <a:ext cx="771525" cy="57478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461</xdr:row>
      <xdr:rowOff>197644</xdr:rowOff>
    </xdr:from>
    <xdr:to>
      <xdr:col>1</xdr:col>
      <xdr:colOff>962025</xdr:colOff>
      <xdr:row>467</xdr:row>
      <xdr:rowOff>104776</xdr:rowOff>
    </xdr:to>
    <xdr:pic>
      <xdr:nvPicPr>
        <xdr:cNvPr id="139" name="Рисунок 138" descr="Блок коллекторный с термостатическими вставками, запорными клапанами, воздухоотводчиками и дренажем EUROS 1&quot;x3/4&quot;x3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108468319"/>
          <a:ext cx="847725" cy="1059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105616</xdr:colOff>
      <xdr:row>452</xdr:row>
      <xdr:rowOff>75752</xdr:rowOff>
    </xdr:from>
    <xdr:to>
      <xdr:col>1</xdr:col>
      <xdr:colOff>1053353</xdr:colOff>
      <xdr:row>458</xdr:row>
      <xdr:rowOff>47874</xdr:rowOff>
    </xdr:to>
    <xdr:pic>
      <xdr:nvPicPr>
        <xdr:cNvPr id="136" name="Рисунок 2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5616" y="91291634"/>
          <a:ext cx="1059796" cy="11151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9526</xdr:colOff>
      <xdr:row>454</xdr:row>
      <xdr:rowOff>66675</xdr:rowOff>
    </xdr:from>
    <xdr:to>
      <xdr:col>1</xdr:col>
      <xdr:colOff>352426</xdr:colOff>
      <xdr:row>456</xdr:row>
      <xdr:rowOff>9525</xdr:rowOff>
    </xdr:to>
    <xdr:pic>
      <xdr:nvPicPr>
        <xdr:cNvPr id="140" name="object 2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/>
      </xdr:nvPicPr>
      <xdr:blipFill rotWithShape="1">
        <a:blip xmlns:r="http://schemas.openxmlformats.org/officeDocument/2006/relationships" r:embed="rId101" cstate="print"/>
        <a:srcRect l="2833" t="4228" r="84237" b="61358"/>
        <a:stretch/>
      </xdr:blipFill>
      <xdr:spPr>
        <a:xfrm>
          <a:off x="123826" y="110975775"/>
          <a:ext cx="3429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474</xdr:row>
      <xdr:rowOff>48985</xdr:rowOff>
    </xdr:from>
    <xdr:to>
      <xdr:col>1</xdr:col>
      <xdr:colOff>685801</xdr:colOff>
      <xdr:row>475</xdr:row>
      <xdr:rowOff>182335</xdr:rowOff>
    </xdr:to>
    <xdr:pic>
      <xdr:nvPicPr>
        <xdr:cNvPr id="143" name="object 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/>
      </xdr:nvPicPr>
      <xdr:blipFill rotWithShape="1">
        <a:blip xmlns:r="http://schemas.openxmlformats.org/officeDocument/2006/relationships" r:embed="rId101" cstate="print"/>
        <a:srcRect l="2833" t="4228" r="84237" b="61358"/>
        <a:stretch/>
      </xdr:blipFill>
      <xdr:spPr>
        <a:xfrm>
          <a:off x="451758" y="96822985"/>
          <a:ext cx="3429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695</xdr:row>
      <xdr:rowOff>19050</xdr:rowOff>
    </xdr:from>
    <xdr:to>
      <xdr:col>1</xdr:col>
      <xdr:colOff>847726</xdr:colOff>
      <xdr:row>698</xdr:row>
      <xdr:rowOff>190499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519F0139-12BA-43A5-9EDE-5A272CF54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1" y="171430950"/>
          <a:ext cx="7334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80009</xdr:colOff>
      <xdr:row>175</xdr:row>
      <xdr:rowOff>42471</xdr:rowOff>
    </xdr:from>
    <xdr:ext cx="582789" cy="552001"/>
    <xdr:pic>
      <xdr:nvPicPr>
        <xdr:cNvPr id="150" name="Picture 22559">
          <a:extLst>
            <a:ext uri="{FF2B5EF4-FFF2-40B4-BE49-F238E27FC236}">
              <a16:creationId xmlns:a16="http://schemas.microsoft.com/office/drawing/2014/main" id="{880169FD-612F-406A-A0BE-ED42BF5D0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94309" y="35894571"/>
          <a:ext cx="582789" cy="552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242529</xdr:colOff>
      <xdr:row>487</xdr:row>
      <xdr:rowOff>177693</xdr:rowOff>
    </xdr:from>
    <xdr:to>
      <xdr:col>1</xdr:col>
      <xdr:colOff>582707</xdr:colOff>
      <xdr:row>490</xdr:row>
      <xdr:rowOff>145928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6D93D12D-8F6C-4C0F-8488-3D5D9EC5C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/>
        <a:srcRect l="74965" t="19655" r="18412" b="69844"/>
        <a:stretch/>
      </xdr:blipFill>
      <xdr:spPr>
        <a:xfrm>
          <a:off x="354588" y="98307605"/>
          <a:ext cx="340178" cy="562147"/>
        </a:xfrm>
        <a:prstGeom prst="rect">
          <a:avLst/>
        </a:prstGeom>
      </xdr:spPr>
    </xdr:pic>
    <xdr:clientData/>
  </xdr:twoCellAnchor>
  <xdr:twoCellAnchor editAs="oneCell">
    <xdr:from>
      <xdr:col>1</xdr:col>
      <xdr:colOff>147279</xdr:colOff>
      <xdr:row>492</xdr:row>
      <xdr:rowOff>47226</xdr:rowOff>
    </xdr:from>
    <xdr:to>
      <xdr:col>1</xdr:col>
      <xdr:colOff>572523</xdr:colOff>
      <xdr:row>494</xdr:row>
      <xdr:rowOff>128069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E2DB10A5-C577-4C0A-AC8A-58E604CBE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338" y="99163255"/>
          <a:ext cx="425244" cy="450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493182</xdr:colOff>
      <xdr:row>496</xdr:row>
      <xdr:rowOff>201705</xdr:rowOff>
    </xdr:from>
    <xdr:to>
      <xdr:col>1</xdr:col>
      <xdr:colOff>1050565</xdr:colOff>
      <xdr:row>500</xdr:row>
      <xdr:rowOff>22183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9C545CDF-E7E0-460C-B30D-24D9BF032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81488" y="99868164"/>
          <a:ext cx="604890" cy="557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104091</xdr:colOff>
      <xdr:row>499</xdr:row>
      <xdr:rowOff>0</xdr:rowOff>
    </xdr:from>
    <xdr:ext cx="647732" cy="292592"/>
    <xdr:pic>
      <xdr:nvPicPr>
        <xdr:cNvPr id="149" name="Picture 20628">
          <a:extLst>
            <a:ext uri="{FF2B5EF4-FFF2-40B4-BE49-F238E27FC236}">
              <a16:creationId xmlns:a16="http://schemas.microsoft.com/office/drawing/2014/main" id="{4CD204F0-468D-47FD-A82B-AA2701FCF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04091" y="100236618"/>
          <a:ext cx="647732" cy="29259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57150</xdr:colOff>
      <xdr:row>139</xdr:row>
      <xdr:rowOff>123825</xdr:rowOff>
    </xdr:from>
    <xdr:to>
      <xdr:col>1</xdr:col>
      <xdr:colOff>838199</xdr:colOff>
      <xdr:row>143</xdr:row>
      <xdr:rowOff>114299</xdr:rowOff>
    </xdr:to>
    <xdr:pic>
      <xdr:nvPicPr>
        <xdr:cNvPr id="130" name="Рисунок 129" descr="Кран шаровой угловой для подключения сантехнических приборов 1/2&quot; x 3/4&quot; НР-НР EU.YT5055040 12x34_k">
          <a:extLst>
            <a:ext uri="{FF2B5EF4-FFF2-40B4-BE49-F238E27FC236}">
              <a16:creationId xmlns:a16="http://schemas.microsoft.com/office/drawing/2014/main" id="{3A60DF6B-5B3E-D346-77ED-B6A5D31B2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9041725"/>
          <a:ext cx="781049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145</xdr:row>
      <xdr:rowOff>38100</xdr:rowOff>
    </xdr:from>
    <xdr:to>
      <xdr:col>1</xdr:col>
      <xdr:colOff>781050</xdr:colOff>
      <xdr:row>148</xdr:row>
      <xdr:rowOff>153100</xdr:rowOff>
    </xdr:to>
    <xdr:pic>
      <xdr:nvPicPr>
        <xdr:cNvPr id="157" name="Рисунок 156" descr="Кран шаровой для подключения сантех. приборов 1/2&quot; x 3/4&quot; x 1/2&quot; ВР-НР-НР EU.YT5014235 12x34x12_k">
          <a:extLst>
            <a:ext uri="{FF2B5EF4-FFF2-40B4-BE49-F238E27FC236}">
              <a16:creationId xmlns:a16="http://schemas.microsoft.com/office/drawing/2014/main" id="{5CDE6DDB-71C9-1D76-C966-400980937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0025" y="30127575"/>
          <a:ext cx="695325" cy="70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114301</xdr:colOff>
      <xdr:row>169</xdr:row>
      <xdr:rowOff>76201</xdr:rowOff>
    </xdr:from>
    <xdr:to>
      <xdr:col>1</xdr:col>
      <xdr:colOff>742950</xdr:colOff>
      <xdr:row>172</xdr:row>
      <xdr:rowOff>133350</xdr:rowOff>
    </xdr:to>
    <xdr:pic>
      <xdr:nvPicPr>
        <xdr:cNvPr id="158" name="Рисунок 157" descr="Фильтр механической очистки, косой 1/2&quot; ВР-ВР EU.YT4009037 12_k">
          <a:extLst>
            <a:ext uri="{FF2B5EF4-FFF2-40B4-BE49-F238E27FC236}">
              <a16:creationId xmlns:a16="http://schemas.microsoft.com/office/drawing/2014/main" id="{271D3BEA-0CC6-96E9-6330-62BD43872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1" y="34766251"/>
          <a:ext cx="628649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82</xdr:row>
      <xdr:rowOff>101601</xdr:rowOff>
    </xdr:from>
    <xdr:to>
      <xdr:col>1</xdr:col>
      <xdr:colOff>723900</xdr:colOff>
      <xdr:row>85</xdr:row>
      <xdr:rowOff>180976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A9ADFA1-5559-FB27-74EC-B936BF33E8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17741901"/>
          <a:ext cx="609600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88</xdr:row>
      <xdr:rowOff>19555</xdr:rowOff>
    </xdr:from>
    <xdr:to>
      <xdr:col>1</xdr:col>
      <xdr:colOff>762000</xdr:colOff>
      <xdr:row>91</xdr:row>
      <xdr:rowOff>99379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A2BF495-E5E6-44E3-DF39-E16B2867F8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499" y="18821905"/>
          <a:ext cx="685801" cy="66084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98</xdr:row>
      <xdr:rowOff>57149</xdr:rowOff>
    </xdr:from>
    <xdr:to>
      <xdr:col>1</xdr:col>
      <xdr:colOff>682024</xdr:colOff>
      <xdr:row>101</xdr:row>
      <xdr:rowOff>55959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B1326E9-ED74-BE18-066D-824073370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706"/>
        <a:stretch/>
      </xdr:blipFill>
      <xdr:spPr>
        <a:xfrm>
          <a:off x="142876" y="20869274"/>
          <a:ext cx="653448" cy="57983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92</xdr:row>
      <xdr:rowOff>168715</xdr:rowOff>
    </xdr:from>
    <xdr:to>
      <xdr:col>1</xdr:col>
      <xdr:colOff>728716</xdr:colOff>
      <xdr:row>96</xdr:row>
      <xdr:rowOff>47625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92F1965-7662-D80F-6A19-00284D7AF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025" y="19742590"/>
          <a:ext cx="642991" cy="68853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75</xdr:row>
      <xdr:rowOff>0</xdr:rowOff>
    </xdr:from>
    <xdr:to>
      <xdr:col>1</xdr:col>
      <xdr:colOff>1017090</xdr:colOff>
      <xdr:row>79</xdr:row>
      <xdr:rowOff>9526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AC13810-9036-14AC-B3D8-FCEC6A783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3" y="16297275"/>
          <a:ext cx="988517" cy="771526"/>
        </a:xfrm>
        <a:prstGeom prst="rect">
          <a:avLst/>
        </a:prstGeom>
      </xdr:spPr>
    </xdr:pic>
    <xdr:clientData/>
  </xdr:twoCellAnchor>
  <xdr:twoCellAnchor editAs="oneCell">
    <xdr:from>
      <xdr:col>1</xdr:col>
      <xdr:colOff>104851</xdr:colOff>
      <xdr:row>65</xdr:row>
      <xdr:rowOff>152400</xdr:rowOff>
    </xdr:from>
    <xdr:to>
      <xdr:col>1</xdr:col>
      <xdr:colOff>1028700</xdr:colOff>
      <xdr:row>69</xdr:row>
      <xdr:rowOff>171450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F9CBFE8-AAE5-089B-47D9-B7658EA44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/>
        <a:srcRect l="2663" t="51172" r="88830" b="37617"/>
        <a:stretch/>
      </xdr:blipFill>
      <xdr:spPr>
        <a:xfrm>
          <a:off x="219151" y="14525625"/>
          <a:ext cx="923849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101</xdr:row>
      <xdr:rowOff>35192</xdr:rowOff>
    </xdr:from>
    <xdr:to>
      <xdr:col>1</xdr:col>
      <xdr:colOff>1066800</xdr:colOff>
      <xdr:row>104</xdr:row>
      <xdr:rowOff>161926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EDCB5E2-0CBD-3850-F27C-67F75EE1F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21428342"/>
          <a:ext cx="942975" cy="69823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430</xdr:row>
      <xdr:rowOff>133350</xdr:rowOff>
    </xdr:from>
    <xdr:to>
      <xdr:col>1</xdr:col>
      <xdr:colOff>809624</xdr:colOff>
      <xdr:row>433</xdr:row>
      <xdr:rowOff>104775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ED9CE77E-B0BA-4FA4-B132-99158CFC7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flipH="1">
          <a:off x="247649" y="85363050"/>
          <a:ext cx="676275" cy="561975"/>
        </a:xfrm>
        <a:prstGeom prst="rect">
          <a:avLst/>
        </a:prstGeom>
      </xdr:spPr>
    </xdr:pic>
    <xdr:clientData/>
  </xdr:twoCellAnchor>
  <xdr:twoCellAnchor>
    <xdr:from>
      <xdr:col>2</xdr:col>
      <xdr:colOff>1274109</xdr:colOff>
      <xdr:row>1</xdr:row>
      <xdr:rowOff>91941</xdr:rowOff>
    </xdr:from>
    <xdr:to>
      <xdr:col>7</xdr:col>
      <xdr:colOff>809624</xdr:colOff>
      <xdr:row>7</xdr:row>
      <xdr:rowOff>161925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29BDE73A-65A8-A859-8EAB-2E80346AE832}"/>
            </a:ext>
          </a:extLst>
        </xdr:cNvPr>
        <xdr:cNvGrpSpPr/>
      </xdr:nvGrpSpPr>
      <xdr:grpSpPr>
        <a:xfrm>
          <a:off x="2483784" y="330066"/>
          <a:ext cx="5155265" cy="1498734"/>
          <a:chOff x="2550460" y="149091"/>
          <a:chExt cx="4993340" cy="1365384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1" b="12426"/>
          <a:stretch/>
        </xdr:blipFill>
        <xdr:spPr>
          <a:xfrm>
            <a:off x="2550460" y="149091"/>
            <a:ext cx="4946276" cy="1251084"/>
          </a:xfrm>
          <a:prstGeom prst="rect">
            <a:avLst/>
          </a:prstGeom>
        </xdr:spPr>
      </xdr:pic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09E0F44A-BAC0-FD8C-3BF8-D965AD0647A4}"/>
              </a:ext>
            </a:extLst>
          </xdr:cNvPr>
          <xdr:cNvSpPr/>
        </xdr:nvSpPr>
        <xdr:spPr>
          <a:xfrm>
            <a:off x="5524500" y="1028700"/>
            <a:ext cx="2019300" cy="48577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1</xdr:col>
      <xdr:colOff>19051</xdr:colOff>
      <xdr:row>443</xdr:row>
      <xdr:rowOff>180976</xdr:rowOff>
    </xdr:from>
    <xdr:to>
      <xdr:col>1</xdr:col>
      <xdr:colOff>952501</xdr:colOff>
      <xdr:row>450</xdr:row>
      <xdr:rowOff>88593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1F4A97C-349E-4AB9-1F79-B97DB5CE63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88477726"/>
          <a:ext cx="933450" cy="1250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</xdr:colOff>
      <xdr:row>938</xdr:row>
      <xdr:rowOff>99060</xdr:rowOff>
    </xdr:from>
    <xdr:to>
      <xdr:col>42</xdr:col>
      <xdr:colOff>579120</xdr:colOff>
      <xdr:row>940</xdr:row>
      <xdr:rowOff>80011</xdr:rowOff>
    </xdr:to>
    <xdr:pic>
      <xdr:nvPicPr>
        <xdr:cNvPr id="81" name="Рисунок 33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" y="246263160"/>
          <a:ext cx="579120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116205</xdr:colOff>
      <xdr:row>429</xdr:row>
      <xdr:rowOff>192405</xdr:rowOff>
    </xdr:from>
    <xdr:to>
      <xdr:col>0</xdr:col>
      <xdr:colOff>1064559</xdr:colOff>
      <xdr:row>433</xdr:row>
      <xdr:rowOff>108585</xdr:rowOff>
    </xdr:to>
    <xdr:pic>
      <xdr:nvPicPr>
        <xdr:cNvPr id="127" name="Рисунок 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205" y="114063780"/>
          <a:ext cx="948354" cy="859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106679</xdr:colOff>
      <xdr:row>436</xdr:row>
      <xdr:rowOff>67234</xdr:rowOff>
    </xdr:from>
    <xdr:to>
      <xdr:col>0</xdr:col>
      <xdr:colOff>1143000</xdr:colOff>
      <xdr:row>439</xdr:row>
      <xdr:rowOff>60959</xdr:rowOff>
    </xdr:to>
    <xdr:pic>
      <xdr:nvPicPr>
        <xdr:cNvPr id="128" name="Рисунок 25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679" y="115595959"/>
          <a:ext cx="1036321" cy="91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1;&#1070;&#1058;&#1053;&#1067;&#1049;%20&#1055;&#1056;&#1040;&#1049;&#1057;%20-11-2014\&#1062;&#1077;&#1085;&#1099;%20&#1085;&#1072;%20&#1088;&#1072;&#1076;&#1080;&#1072;&#1090;&#1086;&#1088;&#1099;\&#1057;&#1088;&#1072;&#1074;&#1085;&#1077;&#1085;&#1080;&#1077;%20EUROS%20vs%20VALTEC%20&#1089;&#1086;&#1074;&#1084;&#1077;&#1089;&#1090;&#1085;&#1086;&#1077;%20&#1091;&#1076;&#1086;&#1088;&#1086;&#1078;&#1072;&#1085;&#1080;&#1077;%20&#1085;&#1086;&#1103;&#1073;&#1088;&#1100;%202014%20-%20&#1042;&#1072;&#1083;&#1102;&#1090;&#1085;&#1099;&#1081;%20&#1087;&#1088;&#1072;&#1081;&#1089;%20%20-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вразия"/>
      <sheetName val="Статистика"/>
    </sheetNames>
    <sheetDataSet>
      <sheetData sheetId="0"/>
      <sheetData sheetId="1">
        <row r="1">
          <cell r="B1" t="str">
            <v>План/факт</v>
          </cell>
          <cell r="C1" t="str">
            <v>(Все)</v>
          </cell>
        </row>
        <row r="2">
          <cell r="B2" t="str">
            <v>Бренд</v>
          </cell>
          <cell r="C2" t="str">
            <v>Euros</v>
          </cell>
        </row>
        <row r="4">
          <cell r="B4" t="str">
            <v>Сумма по полю Количество</v>
          </cell>
          <cell r="C4" t="str">
            <v/>
          </cell>
        </row>
        <row r="5">
          <cell r="B5" t="str">
            <v>Категории продукции</v>
          </cell>
          <cell r="C5" t="str">
            <v>2013-П</v>
          </cell>
          <cell r="D5" t="str">
            <v>2013</v>
          </cell>
        </row>
        <row r="6">
          <cell r="B6" t="str">
            <v>Арматура и трубы</v>
          </cell>
          <cell r="C6">
            <v>0</v>
          </cell>
          <cell r="D6">
            <v>2266004</v>
          </cell>
        </row>
        <row r="7">
          <cell r="B7" t="str">
            <v>Головки термостатические EUROS</v>
          </cell>
          <cell r="C7">
            <v>0</v>
          </cell>
          <cell r="D7">
            <v>8955</v>
          </cell>
        </row>
        <row r="8">
          <cell r="B8" t="str">
            <v>-</v>
          </cell>
          <cell r="C8">
            <v>0</v>
          </cell>
        </row>
        <row r="9">
          <cell r="B9" t="str">
            <v>EU.ST6136 М30x1.5</v>
          </cell>
          <cell r="D9">
            <v>8955</v>
          </cell>
        </row>
        <row r="11">
          <cell r="B11" t="str">
            <v>Задвижки клиновые EUROS</v>
          </cell>
          <cell r="D11">
            <v>475</v>
          </cell>
        </row>
        <row r="12">
          <cell r="B12" t="str">
            <v>EU.ST4109030 12</v>
          </cell>
          <cell r="D12">
            <v>111</v>
          </cell>
        </row>
        <row r="13">
          <cell r="B13" t="str">
            <v>EU.ST4109040 34</v>
          </cell>
          <cell r="D13">
            <v>146</v>
          </cell>
        </row>
        <row r="14">
          <cell r="B14" t="str">
            <v>EU.ST4109050 1</v>
          </cell>
          <cell r="D14">
            <v>172</v>
          </cell>
        </row>
        <row r="15">
          <cell r="B15" t="str">
            <v>EU.ST4109060 114</v>
          </cell>
          <cell r="D15">
            <v>28</v>
          </cell>
        </row>
        <row r="16">
          <cell r="B16" t="str">
            <v>EU.ST4109070 112</v>
          </cell>
          <cell r="D16">
            <v>13</v>
          </cell>
        </row>
        <row r="17">
          <cell r="B17" t="str">
            <v>EU.ST4109080 2</v>
          </cell>
          <cell r="D17">
            <v>5</v>
          </cell>
        </row>
        <row r="19">
          <cell r="B19" t="str">
            <v>Клапаны регулировочные EUROS</v>
          </cell>
          <cell r="C19">
            <v>0</v>
          </cell>
          <cell r="D19">
            <v>2213</v>
          </cell>
        </row>
        <row r="20">
          <cell r="B20" t="str">
            <v>-</v>
          </cell>
          <cell r="C20">
            <v>0</v>
          </cell>
        </row>
        <row r="21">
          <cell r="B21" t="str">
            <v>EU.ST4108030 12</v>
          </cell>
          <cell r="D21">
            <v>756</v>
          </cell>
        </row>
        <row r="22">
          <cell r="B22" t="str">
            <v>EU.ST4108040 34</v>
          </cell>
          <cell r="D22">
            <v>605</v>
          </cell>
        </row>
        <row r="23">
          <cell r="B23" t="str">
            <v>EU.ST4108050 1</v>
          </cell>
          <cell r="D23">
            <v>353</v>
          </cell>
        </row>
        <row r="24">
          <cell r="B24" t="str">
            <v>EU.ST4108060 114</v>
          </cell>
          <cell r="D24">
            <v>146</v>
          </cell>
        </row>
        <row r="25">
          <cell r="B25" t="str">
            <v>EU.ST4108070 112</v>
          </cell>
          <cell r="D25">
            <v>157</v>
          </cell>
        </row>
        <row r="26">
          <cell r="B26" t="str">
            <v>EU.ST4108080 2</v>
          </cell>
          <cell r="D26">
            <v>196</v>
          </cell>
        </row>
        <row r="28">
          <cell r="B28" t="str">
            <v>Коллекторы EUROS</v>
          </cell>
          <cell r="C28">
            <v>0</v>
          </cell>
          <cell r="D28">
            <v>58818</v>
          </cell>
        </row>
        <row r="29">
          <cell r="B29" t="str">
            <v>-</v>
          </cell>
          <cell r="C29">
            <v>0</v>
          </cell>
        </row>
        <row r="30">
          <cell r="B30" t="str">
            <v>EU.ST 6043050 1</v>
          </cell>
          <cell r="D30">
            <v>66</v>
          </cell>
        </row>
        <row r="31">
          <cell r="B31" t="str">
            <v>EU.ST3042125 2х34х12</v>
          </cell>
          <cell r="D31">
            <v>1325</v>
          </cell>
        </row>
        <row r="32">
          <cell r="B32" t="str">
            <v>EU.ST3042135 3х34х12</v>
          </cell>
          <cell r="D32">
            <v>853</v>
          </cell>
        </row>
        <row r="33">
          <cell r="B33" t="str">
            <v>EU.ST3042275 2х1х12</v>
          </cell>
          <cell r="D33">
            <v>806</v>
          </cell>
        </row>
        <row r="34">
          <cell r="B34" t="str">
            <v>EU.ST3042285 3х1х12</v>
          </cell>
          <cell r="D34">
            <v>839</v>
          </cell>
        </row>
        <row r="35">
          <cell r="B35" t="str">
            <v>EU.ST3078125 2х34х12</v>
          </cell>
          <cell r="D35">
            <v>2690</v>
          </cell>
        </row>
        <row r="36">
          <cell r="B36" t="str">
            <v>EU.ST3078135 3х34х12</v>
          </cell>
          <cell r="D36">
            <v>2694</v>
          </cell>
        </row>
        <row r="37">
          <cell r="B37" t="str">
            <v>EU.ST3078145 4х34х12</v>
          </cell>
          <cell r="D37">
            <v>2202</v>
          </cell>
        </row>
        <row r="38">
          <cell r="B38" t="str">
            <v>EU.ST3078275 2х1х12</v>
          </cell>
          <cell r="D38">
            <v>1795</v>
          </cell>
        </row>
        <row r="39">
          <cell r="B39" t="str">
            <v>EU.ST3078285 3х1х12</v>
          </cell>
          <cell r="D39">
            <v>2713</v>
          </cell>
        </row>
        <row r="40">
          <cell r="B40" t="str">
            <v>EU.ST3078295 4х1х12</v>
          </cell>
          <cell r="D40">
            <v>2499</v>
          </cell>
        </row>
        <row r="41">
          <cell r="B41" t="str">
            <v>EU.ST3092340 13x12x3</v>
          </cell>
          <cell r="D41">
            <v>26</v>
          </cell>
        </row>
        <row r="42">
          <cell r="B42" t="str">
            <v>EU.ST3092350 1x1/2x3</v>
          </cell>
          <cell r="D42">
            <v>176</v>
          </cell>
        </row>
        <row r="43">
          <cell r="B43" t="str">
            <v>EU.ST3092360 1 1/4x1/2x3</v>
          </cell>
          <cell r="D43">
            <v>15</v>
          </cell>
        </row>
        <row r="44">
          <cell r="B44" t="str">
            <v>EU.ST3092440 34x12x4</v>
          </cell>
          <cell r="D44">
            <v>50</v>
          </cell>
        </row>
        <row r="45">
          <cell r="B45" t="str">
            <v>EU.ST3092450 1x1/2x4</v>
          </cell>
          <cell r="D45">
            <v>96</v>
          </cell>
        </row>
        <row r="46">
          <cell r="B46" t="str">
            <v>EU.ST3092460 1 1/4x1/2x4</v>
          </cell>
          <cell r="D46">
            <v>2</v>
          </cell>
        </row>
        <row r="47">
          <cell r="B47" t="str">
            <v>EU.ST3092540 3/4x1/2x5</v>
          </cell>
          <cell r="D47">
            <v>19</v>
          </cell>
        </row>
        <row r="48">
          <cell r="B48" t="str">
            <v>EU.ST3092550 1x1/2x5</v>
          </cell>
          <cell r="D48">
            <v>135</v>
          </cell>
        </row>
        <row r="49">
          <cell r="B49" t="str">
            <v>EU.ST3092560 1 1/4x1/2x5</v>
          </cell>
          <cell r="D49">
            <v>4</v>
          </cell>
        </row>
        <row r="50">
          <cell r="B50" t="str">
            <v>EU.ST3092640 3/4x1/2x6</v>
          </cell>
          <cell r="D50">
            <v>5</v>
          </cell>
        </row>
        <row r="51">
          <cell r="B51" t="str">
            <v>EU.ST3092650 1x1/2x6</v>
          </cell>
          <cell r="D51">
            <v>50</v>
          </cell>
        </row>
        <row r="52">
          <cell r="B52" t="str">
            <v>EU.ST3092660 1 1/4x1/2x6</v>
          </cell>
          <cell r="D52">
            <v>44</v>
          </cell>
        </row>
        <row r="53">
          <cell r="B53" t="str">
            <v>EU.ST3092740 3/4x1/2x7</v>
          </cell>
          <cell r="D53">
            <v>2</v>
          </cell>
        </row>
        <row r="54">
          <cell r="B54" t="str">
            <v>EU.ST3092750 1*1/2x7</v>
          </cell>
          <cell r="D54">
            <v>29</v>
          </cell>
        </row>
        <row r="55">
          <cell r="B55" t="str">
            <v>EU.ST3092760 1 1/4x1/2x7</v>
          </cell>
          <cell r="D55">
            <v>2</v>
          </cell>
        </row>
        <row r="56">
          <cell r="B56" t="str">
            <v>EU.ST3092850 1*1/2x8</v>
          </cell>
          <cell r="D56">
            <v>43</v>
          </cell>
        </row>
        <row r="57">
          <cell r="B57" t="str">
            <v>EU.ST3092860 1 1/4x1/2x8</v>
          </cell>
          <cell r="D57">
            <v>122</v>
          </cell>
        </row>
        <row r="58">
          <cell r="B58" t="str">
            <v>EU.ST3093230 34x12x12</v>
          </cell>
          <cell r="D58">
            <v>567</v>
          </cell>
        </row>
        <row r="59">
          <cell r="B59" t="str">
            <v>EU.ST3093240 1x12x12</v>
          </cell>
          <cell r="D59">
            <v>1824</v>
          </cell>
        </row>
        <row r="60">
          <cell r="B60" t="str">
            <v>EU.ST3273035 16х2х12</v>
          </cell>
          <cell r="D60">
            <v>34573</v>
          </cell>
        </row>
        <row r="61">
          <cell r="B61" t="str">
            <v>EU.ST6043060 114</v>
          </cell>
          <cell r="D61">
            <v>8</v>
          </cell>
        </row>
        <row r="62">
          <cell r="B62" t="str">
            <v>EU.ST6044050 1</v>
          </cell>
          <cell r="D62">
            <v>162</v>
          </cell>
        </row>
        <row r="63">
          <cell r="B63" t="str">
            <v>EU.ST6044060 114</v>
          </cell>
          <cell r="D63">
            <v>15</v>
          </cell>
        </row>
        <row r="64">
          <cell r="B64" t="str">
            <v>EU.ST6045050 1</v>
          </cell>
          <cell r="D64">
            <v>1008</v>
          </cell>
        </row>
        <row r="65">
          <cell r="B65" t="str">
            <v>EU.ST6045060 114</v>
          </cell>
          <cell r="D65">
            <v>319</v>
          </cell>
        </row>
        <row r="66">
          <cell r="B66" t="str">
            <v>EU.ST6079350 1x3/4x3</v>
          </cell>
          <cell r="D66">
            <v>34</v>
          </cell>
        </row>
        <row r="67">
          <cell r="B67" t="str">
            <v>EU.ST6079360 11/4x3/4x3</v>
          </cell>
          <cell r="D67">
            <v>2</v>
          </cell>
        </row>
        <row r="68">
          <cell r="B68" t="str">
            <v>EU.ST6079450 1*3/4х4</v>
          </cell>
          <cell r="D68">
            <v>25</v>
          </cell>
        </row>
        <row r="69">
          <cell r="B69" t="str">
            <v>EU.ST6079460 11/4x3/4x4</v>
          </cell>
          <cell r="D69">
            <v>-1</v>
          </cell>
        </row>
        <row r="70">
          <cell r="B70" t="str">
            <v>EU.ST6079550 1x3/4x5</v>
          </cell>
          <cell r="D70">
            <v>33</v>
          </cell>
        </row>
        <row r="71">
          <cell r="B71" t="str">
            <v>EU.ST6079560 1 1/4x3/4x5</v>
          </cell>
          <cell r="D71">
            <v>-1</v>
          </cell>
        </row>
        <row r="72">
          <cell r="B72" t="str">
            <v>EU.ST6079650 1x3/4x6</v>
          </cell>
          <cell r="D72">
            <v>19</v>
          </cell>
        </row>
        <row r="73">
          <cell r="B73" t="str">
            <v>EU.ST6079660 1 1/4x3/4x6</v>
          </cell>
          <cell r="D73">
            <v>-1</v>
          </cell>
        </row>
        <row r="74">
          <cell r="B74" t="str">
            <v>EU.ST6079750 1x3/4x7</v>
          </cell>
          <cell r="D74">
            <v>23</v>
          </cell>
        </row>
        <row r="75">
          <cell r="B75" t="str">
            <v>EU.ST6079850 1x3/4x8</v>
          </cell>
          <cell r="D75">
            <v>17</v>
          </cell>
        </row>
        <row r="76">
          <cell r="B76" t="str">
            <v>EU.ST6081351 1x1/2x3</v>
          </cell>
          <cell r="D76">
            <v>40</v>
          </cell>
        </row>
        <row r="77">
          <cell r="B77" t="str">
            <v>EU.ST6081351 1x3/4x3</v>
          </cell>
          <cell r="D77">
            <v>91</v>
          </cell>
        </row>
        <row r="78">
          <cell r="B78" t="str">
            <v>EU.ST6081361 1 1/4x3/4x3</v>
          </cell>
          <cell r="D78">
            <v>5</v>
          </cell>
        </row>
        <row r="79">
          <cell r="B79" t="str">
            <v>EU.ST6081451 1x1/2x4</v>
          </cell>
          <cell r="D79">
            <v>84</v>
          </cell>
        </row>
        <row r="80">
          <cell r="B80" t="str">
            <v>EU.ST6081451 1x3/4x4</v>
          </cell>
          <cell r="D80">
            <v>105</v>
          </cell>
        </row>
        <row r="81">
          <cell r="B81" t="str">
            <v>EU.ST6081461 1 1/4x3/4x4</v>
          </cell>
          <cell r="D81">
            <v>3</v>
          </cell>
        </row>
        <row r="82">
          <cell r="B82" t="str">
            <v>EU.ST6081551 1x1/2x5</v>
          </cell>
          <cell r="D82">
            <v>45</v>
          </cell>
        </row>
        <row r="83">
          <cell r="B83" t="str">
            <v>EU.ST6081551 1x3/4x5</v>
          </cell>
          <cell r="D83">
            <v>121</v>
          </cell>
        </row>
        <row r="84">
          <cell r="B84" t="str">
            <v>EU.ST6081561 1 1/4x3/4x5</v>
          </cell>
          <cell r="D84">
            <v>1</v>
          </cell>
        </row>
        <row r="85">
          <cell r="B85" t="str">
            <v>EU.ST6081651 1x1/2x6</v>
          </cell>
          <cell r="D85">
            <v>37</v>
          </cell>
        </row>
        <row r="86">
          <cell r="B86" t="str">
            <v>EU.ST6081651 1x3/4x6</v>
          </cell>
          <cell r="D86">
            <v>128</v>
          </cell>
        </row>
        <row r="87">
          <cell r="B87" t="str">
            <v>EU.ST6081661 1 1/4x3/4x6</v>
          </cell>
          <cell r="D87">
            <v>1</v>
          </cell>
        </row>
        <row r="88">
          <cell r="B88" t="str">
            <v>EU.ST6081751 1x1/2x7</v>
          </cell>
          <cell r="D88">
            <v>18</v>
          </cell>
        </row>
        <row r="89">
          <cell r="B89" t="str">
            <v>EU.ST6081751 1x3/4x7</v>
          </cell>
          <cell r="D89">
            <v>78</v>
          </cell>
        </row>
        <row r="90">
          <cell r="B90" t="str">
            <v>EU.ST6081761 1 1/4x3/4x7</v>
          </cell>
          <cell r="D90">
            <v>1</v>
          </cell>
        </row>
        <row r="91">
          <cell r="B91" t="str">
            <v>EU.ST6081851 1x1/2x8</v>
          </cell>
          <cell r="D91">
            <v>30</v>
          </cell>
        </row>
        <row r="92">
          <cell r="B92" t="str">
            <v>EU.ST6081851 1x3/4x8</v>
          </cell>
          <cell r="D92">
            <v>96</v>
          </cell>
        </row>
        <row r="93">
          <cell r="B93" t="str">
            <v>EU.ST6081861 1 1/4x3/4x8</v>
          </cell>
          <cell r="D93">
            <v>6</v>
          </cell>
        </row>
        <row r="95">
          <cell r="B95" t="str">
            <v>Комплекты для монтажа радиаторов EUROS</v>
          </cell>
          <cell r="C95">
            <v>0</v>
          </cell>
          <cell r="D95">
            <v>494654</v>
          </cell>
        </row>
        <row r="96">
          <cell r="B96" t="str">
            <v>-</v>
          </cell>
          <cell r="C96">
            <v>0</v>
          </cell>
        </row>
        <row r="97">
          <cell r="B97" t="str">
            <v>EU.ST6134030 12</v>
          </cell>
          <cell r="D97">
            <v>83889</v>
          </cell>
        </row>
        <row r="98">
          <cell r="B98" t="str">
            <v>EU.ST6134040 34</v>
          </cell>
          <cell r="D98">
            <v>65216</v>
          </cell>
        </row>
        <row r="99">
          <cell r="B99" t="str">
            <v>EU.ST6154030 12</v>
          </cell>
          <cell r="D99">
            <v>47908</v>
          </cell>
        </row>
        <row r="100">
          <cell r="B100" t="str">
            <v>EU.ST6154040 34</v>
          </cell>
          <cell r="D100">
            <v>37710</v>
          </cell>
        </row>
        <row r="101">
          <cell r="B101" t="str">
            <v>EU.ST6162030 12</v>
          </cell>
          <cell r="D101">
            <v>50301</v>
          </cell>
        </row>
        <row r="102">
          <cell r="B102" t="str">
            <v>EU.ST6162040 34</v>
          </cell>
          <cell r="D102">
            <v>37722</v>
          </cell>
        </row>
        <row r="103">
          <cell r="B103" t="str">
            <v>EU.ST6252030 170x9</v>
          </cell>
          <cell r="D103">
            <v>27760</v>
          </cell>
        </row>
        <row r="104">
          <cell r="B104" t="str">
            <v>EU.ST6252040</v>
          </cell>
          <cell r="D104">
            <v>20016</v>
          </cell>
        </row>
        <row r="105">
          <cell r="B105" t="str">
            <v>EU.ST6253301 12</v>
          </cell>
          <cell r="D105">
            <v>5934</v>
          </cell>
        </row>
        <row r="106">
          <cell r="B106" t="str">
            <v>EU.ST6253302 34</v>
          </cell>
          <cell r="D106">
            <v>100</v>
          </cell>
        </row>
        <row r="107">
          <cell r="B107" t="str">
            <v>EU.ST6253305</v>
          </cell>
          <cell r="D107">
            <v>11162</v>
          </cell>
        </row>
        <row r="108">
          <cell r="B108" t="str">
            <v>EU.ST6253306</v>
          </cell>
          <cell r="D108">
            <v>91574</v>
          </cell>
        </row>
        <row r="109">
          <cell r="B109" t="str">
            <v>EU.ST6253311 12</v>
          </cell>
          <cell r="D109">
            <v>12775</v>
          </cell>
        </row>
        <row r="110">
          <cell r="B110" t="str">
            <v>EU.ST6254040</v>
          </cell>
          <cell r="D110">
            <v>377</v>
          </cell>
        </row>
        <row r="111">
          <cell r="B111" t="str">
            <v>EU.ST6254050</v>
          </cell>
          <cell r="D111">
            <v>1806</v>
          </cell>
        </row>
        <row r="112">
          <cell r="B112" t="str">
            <v>EU.ST6254055</v>
          </cell>
          <cell r="D112">
            <v>404</v>
          </cell>
        </row>
        <row r="114">
          <cell r="B114" t="str">
            <v>Металлопластиковая труба EUROS</v>
          </cell>
          <cell r="C114">
            <v>0</v>
          </cell>
          <cell r="D114">
            <v>134779</v>
          </cell>
        </row>
        <row r="115">
          <cell r="B115" t="str">
            <v>-</v>
          </cell>
          <cell r="C115">
            <v>0</v>
          </cell>
        </row>
        <row r="116">
          <cell r="B116" t="str">
            <v>EU.16x2</v>
          </cell>
          <cell r="D116">
            <v>100919</v>
          </cell>
        </row>
        <row r="117">
          <cell r="B117" t="str">
            <v>EU.20x2</v>
          </cell>
          <cell r="D117">
            <v>20050</v>
          </cell>
        </row>
        <row r="118">
          <cell r="B118" t="str">
            <v>EU.26x3</v>
          </cell>
          <cell r="D118">
            <v>11824</v>
          </cell>
        </row>
        <row r="119">
          <cell r="B119" t="str">
            <v>EU.32x3</v>
          </cell>
          <cell r="D119">
            <v>1986</v>
          </cell>
        </row>
        <row r="121">
          <cell r="B121" t="str">
            <v>Обратные клапана EUROS</v>
          </cell>
          <cell r="C121">
            <v>0</v>
          </cell>
          <cell r="D121">
            <v>13772</v>
          </cell>
        </row>
        <row r="122">
          <cell r="B122" t="str">
            <v>-</v>
          </cell>
          <cell r="C122">
            <v>0</v>
          </cell>
        </row>
        <row r="123">
          <cell r="B123" t="str">
            <v>EU.ST4001036 12</v>
          </cell>
          <cell r="D123">
            <v>4101</v>
          </cell>
        </row>
        <row r="124">
          <cell r="B124" t="str">
            <v>EU.ST4001046 34</v>
          </cell>
          <cell r="D124">
            <v>1662</v>
          </cell>
        </row>
        <row r="125">
          <cell r="B125" t="str">
            <v>EU.ST4001056 1</v>
          </cell>
          <cell r="D125">
            <v>3337</v>
          </cell>
        </row>
        <row r="126">
          <cell r="B126" t="str">
            <v>EU.ST4001066 114</v>
          </cell>
          <cell r="D126">
            <v>713</v>
          </cell>
        </row>
        <row r="127">
          <cell r="B127" t="str">
            <v>EU.ST4001076 112</v>
          </cell>
          <cell r="D127">
            <v>327</v>
          </cell>
        </row>
        <row r="128">
          <cell r="B128" t="str">
            <v>EU.ST4001086 2</v>
          </cell>
          <cell r="D128">
            <v>328</v>
          </cell>
        </row>
        <row r="129">
          <cell r="B129" t="str">
            <v>EU.ST4056035 12</v>
          </cell>
          <cell r="D129">
            <v>1044</v>
          </cell>
        </row>
        <row r="130">
          <cell r="B130" t="str">
            <v>EU.ST4056045 34</v>
          </cell>
          <cell r="D130">
            <v>678</v>
          </cell>
        </row>
        <row r="131">
          <cell r="B131" t="str">
            <v>EU.ST4056055 1</v>
          </cell>
          <cell r="D131">
            <v>1091</v>
          </cell>
        </row>
        <row r="132">
          <cell r="B132" t="str">
            <v>EU.ST4056065 114</v>
          </cell>
          <cell r="D132">
            <v>234</v>
          </cell>
        </row>
        <row r="133">
          <cell r="B133" t="str">
            <v>EU.ST4056075 112</v>
          </cell>
          <cell r="D133">
            <v>215</v>
          </cell>
        </row>
        <row r="134">
          <cell r="B134" t="str">
            <v>EU.ST4056085 2</v>
          </cell>
          <cell r="D134">
            <v>42</v>
          </cell>
        </row>
        <row r="136">
          <cell r="B136" t="str">
            <v>Предохранительная арматура EUROS</v>
          </cell>
          <cell r="C136">
            <v>0</v>
          </cell>
          <cell r="D136">
            <v>17752</v>
          </cell>
        </row>
        <row r="137">
          <cell r="B137" t="str">
            <v>-</v>
          </cell>
          <cell r="C137">
            <v>0</v>
          </cell>
        </row>
        <row r="138">
          <cell r="B138" t="str">
            <v>EU.ST6022032 12</v>
          </cell>
          <cell r="D138">
            <v>9555</v>
          </cell>
        </row>
        <row r="139">
          <cell r="B139" t="str">
            <v>EU.ST607030 12</v>
          </cell>
          <cell r="D139">
            <v>2064</v>
          </cell>
        </row>
        <row r="140">
          <cell r="B140" t="str">
            <v>EU.ST607040 34</v>
          </cell>
          <cell r="D140">
            <v>1866</v>
          </cell>
        </row>
        <row r="141">
          <cell r="B141" t="str">
            <v>EU.ST6186030 12</v>
          </cell>
          <cell r="D141">
            <v>372</v>
          </cell>
        </row>
        <row r="142">
          <cell r="B142" t="str">
            <v>EU.ST6186031 12</v>
          </cell>
          <cell r="D142">
            <v>2540</v>
          </cell>
        </row>
        <row r="143">
          <cell r="B143" t="str">
            <v>EU.ST6186032 12</v>
          </cell>
          <cell r="D143">
            <v>321</v>
          </cell>
        </row>
        <row r="144">
          <cell r="B144" t="str">
            <v>EU.ST6196030 12</v>
          </cell>
          <cell r="D144">
            <v>1034</v>
          </cell>
        </row>
        <row r="146">
          <cell r="B146" t="str">
            <v>Пресс фитинги EUROS</v>
          </cell>
          <cell r="C146">
            <v>0</v>
          </cell>
          <cell r="D146">
            <v>79321</v>
          </cell>
        </row>
        <row r="147">
          <cell r="B147" t="str">
            <v>-</v>
          </cell>
          <cell r="C147">
            <v>0</v>
          </cell>
        </row>
        <row r="148">
          <cell r="B148" t="str">
            <v>EU.MY6701 16x12</v>
          </cell>
          <cell r="D148">
            <v>10301</v>
          </cell>
        </row>
        <row r="149">
          <cell r="B149" t="str">
            <v>EU.MY6701 16x34</v>
          </cell>
          <cell r="D149">
            <v>399</v>
          </cell>
        </row>
        <row r="150">
          <cell r="B150" t="str">
            <v>EU.MY6701 20x12</v>
          </cell>
          <cell r="D150">
            <v>4722</v>
          </cell>
        </row>
        <row r="151">
          <cell r="B151" t="str">
            <v>EU.MY6701 20x34</v>
          </cell>
          <cell r="D151">
            <v>2409</v>
          </cell>
        </row>
        <row r="152">
          <cell r="B152" t="str">
            <v>EU.MY6701 26x1</v>
          </cell>
          <cell r="D152">
            <v>1961</v>
          </cell>
        </row>
        <row r="153">
          <cell r="B153" t="str">
            <v>EU.MY6701 26x34</v>
          </cell>
          <cell r="D153">
            <v>1728</v>
          </cell>
        </row>
        <row r="154">
          <cell r="B154" t="str">
            <v>EU.MY6701 32x1</v>
          </cell>
          <cell r="D154">
            <v>139</v>
          </cell>
        </row>
        <row r="155">
          <cell r="B155" t="str">
            <v>EU.MY6702 16x12</v>
          </cell>
          <cell r="D155">
            <v>2567</v>
          </cell>
        </row>
        <row r="156">
          <cell r="B156" t="str">
            <v>EU.MY6702 16x34</v>
          </cell>
          <cell r="D156">
            <v>463</v>
          </cell>
        </row>
        <row r="157">
          <cell r="B157" t="str">
            <v>EU.MY6702 20x12</v>
          </cell>
          <cell r="D157">
            <v>1297</v>
          </cell>
        </row>
        <row r="158">
          <cell r="B158" t="str">
            <v>EU.MY6702 20x34</v>
          </cell>
          <cell r="D158">
            <v>1795</v>
          </cell>
        </row>
        <row r="159">
          <cell r="B159" t="str">
            <v>EU.MY6702 26x1</v>
          </cell>
          <cell r="D159">
            <v>395</v>
          </cell>
        </row>
        <row r="160">
          <cell r="B160" t="str">
            <v>EU.MY6702 26x34</v>
          </cell>
          <cell r="D160">
            <v>494</v>
          </cell>
        </row>
        <row r="161">
          <cell r="B161" t="str">
            <v>EU.MY6702 32x1</v>
          </cell>
          <cell r="D161">
            <v>109</v>
          </cell>
        </row>
        <row r="162">
          <cell r="B162" t="str">
            <v>EU.MY6703 16</v>
          </cell>
          <cell r="D162">
            <v>2518</v>
          </cell>
        </row>
        <row r="163">
          <cell r="B163" t="str">
            <v>EU.MY6703 20</v>
          </cell>
          <cell r="D163">
            <v>1242</v>
          </cell>
        </row>
        <row r="164">
          <cell r="B164" t="str">
            <v>EU.MY6703 20x16</v>
          </cell>
          <cell r="D164">
            <v>450</v>
          </cell>
        </row>
        <row r="165">
          <cell r="B165" t="str">
            <v>EU.MY6703 26</v>
          </cell>
          <cell r="D165">
            <v>362</v>
          </cell>
        </row>
        <row r="166">
          <cell r="B166" t="str">
            <v>EU.MY6703 26x16</v>
          </cell>
          <cell r="D166">
            <v>116</v>
          </cell>
        </row>
        <row r="167">
          <cell r="B167" t="str">
            <v>EU.MY6703 26x20</v>
          </cell>
          <cell r="D167">
            <v>182</v>
          </cell>
        </row>
        <row r="168">
          <cell r="B168" t="str">
            <v>EU.MY6703 32</v>
          </cell>
          <cell r="D168">
            <v>82</v>
          </cell>
        </row>
        <row r="169">
          <cell r="B169" t="str">
            <v>EU.MY6703 32x16</v>
          </cell>
          <cell r="D169">
            <v>27</v>
          </cell>
        </row>
        <row r="170">
          <cell r="B170" t="str">
            <v>EU.MY6703 32x20</v>
          </cell>
          <cell r="D170">
            <v>46</v>
          </cell>
        </row>
        <row r="171">
          <cell r="B171" t="str">
            <v>EU.MY6703 32x26</v>
          </cell>
          <cell r="D171">
            <v>78</v>
          </cell>
        </row>
        <row r="172">
          <cell r="B172" t="str">
            <v>EU.MY6704 16x12</v>
          </cell>
          <cell r="D172">
            <v>3196</v>
          </cell>
        </row>
        <row r="173">
          <cell r="B173" t="str">
            <v>EU.MY6704 16x34</v>
          </cell>
          <cell r="D173">
            <v>116</v>
          </cell>
        </row>
        <row r="174">
          <cell r="B174" t="str">
            <v>EU.MY6704 20x12</v>
          </cell>
          <cell r="D174">
            <v>211</v>
          </cell>
        </row>
        <row r="175">
          <cell r="B175" t="str">
            <v>EU.MY6704 20x34</v>
          </cell>
          <cell r="D175">
            <v>326</v>
          </cell>
        </row>
        <row r="176">
          <cell r="B176" t="str">
            <v>EU.MY6704 26x1</v>
          </cell>
          <cell r="D176">
            <v>112</v>
          </cell>
        </row>
        <row r="177">
          <cell r="B177" t="str">
            <v>EU.MY6704 26x34</v>
          </cell>
          <cell r="D177">
            <v>105</v>
          </cell>
        </row>
        <row r="178">
          <cell r="B178" t="str">
            <v>EU.MY6704 32x1</v>
          </cell>
          <cell r="D178">
            <v>36</v>
          </cell>
        </row>
        <row r="179">
          <cell r="B179" t="str">
            <v>EU.MY6705 16x12</v>
          </cell>
          <cell r="D179">
            <v>507</v>
          </cell>
        </row>
        <row r="180">
          <cell r="B180" t="str">
            <v>EU.MY6705 16x34</v>
          </cell>
          <cell r="D180">
            <v>578</v>
          </cell>
        </row>
        <row r="181">
          <cell r="B181" t="str">
            <v>EU.MY6705 20x12</v>
          </cell>
          <cell r="D181">
            <v>350</v>
          </cell>
        </row>
        <row r="182">
          <cell r="B182" t="str">
            <v>EU.MY6705 20x34</v>
          </cell>
          <cell r="D182">
            <v>194</v>
          </cell>
        </row>
        <row r="183">
          <cell r="B183" t="str">
            <v>EU.MY6705 26x1</v>
          </cell>
          <cell r="D183">
            <v>91</v>
          </cell>
        </row>
        <row r="184">
          <cell r="B184" t="str">
            <v>EU.MY6705 26x34</v>
          </cell>
          <cell r="D184">
            <v>46</v>
          </cell>
        </row>
        <row r="185">
          <cell r="B185" t="str">
            <v>EU.MY6705 32x1</v>
          </cell>
          <cell r="D185">
            <v>36</v>
          </cell>
        </row>
        <row r="186">
          <cell r="B186" t="str">
            <v>EU.MY6706 16</v>
          </cell>
          <cell r="D186">
            <v>9258</v>
          </cell>
        </row>
        <row r="187">
          <cell r="B187" t="str">
            <v>EU.MY6706 20</v>
          </cell>
          <cell r="D187">
            <v>3174</v>
          </cell>
        </row>
        <row r="188">
          <cell r="B188" t="str">
            <v>EU.MY6706 26</v>
          </cell>
          <cell r="D188">
            <v>1272</v>
          </cell>
        </row>
        <row r="189">
          <cell r="B189" t="str">
            <v>EU.MY6706 32</v>
          </cell>
          <cell r="D189">
            <v>880</v>
          </cell>
        </row>
        <row r="190">
          <cell r="B190" t="str">
            <v>EU.MY6707 16x12x16</v>
          </cell>
          <cell r="D190">
            <v>758</v>
          </cell>
        </row>
        <row r="191">
          <cell r="B191" t="str">
            <v>EU.MY6707 20x12x20</v>
          </cell>
          <cell r="D191">
            <v>246</v>
          </cell>
        </row>
        <row r="192">
          <cell r="B192" t="str">
            <v>EU.MY6707 20x34x20</v>
          </cell>
          <cell r="D192">
            <v>145</v>
          </cell>
        </row>
        <row r="193">
          <cell r="B193" t="str">
            <v>EU.MY6707 26x12x26</v>
          </cell>
          <cell r="D193">
            <v>883</v>
          </cell>
        </row>
        <row r="194">
          <cell r="B194" t="str">
            <v>EU.MY6707 26x1x26</v>
          </cell>
          <cell r="D194">
            <v>51</v>
          </cell>
        </row>
        <row r="195">
          <cell r="B195" t="str">
            <v>EU.MY6707 26x34x26</v>
          </cell>
          <cell r="D195">
            <v>97</v>
          </cell>
        </row>
        <row r="196">
          <cell r="B196" t="str">
            <v>EU.MY6707 32x1x32</v>
          </cell>
          <cell r="D196">
            <v>31</v>
          </cell>
        </row>
        <row r="197">
          <cell r="B197" t="str">
            <v>EU.MY6708 16x12x16</v>
          </cell>
          <cell r="D197">
            <v>272</v>
          </cell>
        </row>
        <row r="198">
          <cell r="B198" t="str">
            <v>EU.MY6708 20x12x20</v>
          </cell>
          <cell r="D198">
            <v>239</v>
          </cell>
        </row>
        <row r="199">
          <cell r="B199" t="str">
            <v>EU.MY6708 20x34x20</v>
          </cell>
          <cell r="D199">
            <v>129</v>
          </cell>
        </row>
        <row r="200">
          <cell r="B200" t="str">
            <v>EU.MY6708 26x12x26</v>
          </cell>
          <cell r="D200">
            <v>56</v>
          </cell>
        </row>
        <row r="201">
          <cell r="B201" t="str">
            <v>EU.MY6708 26x1x26</v>
          </cell>
          <cell r="D201">
            <v>72</v>
          </cell>
        </row>
        <row r="202">
          <cell r="B202" t="str">
            <v>EU.MY6708 26x34x26</v>
          </cell>
          <cell r="D202">
            <v>57</v>
          </cell>
        </row>
        <row r="203">
          <cell r="B203" t="str">
            <v>EU.MY6708 32x1x32</v>
          </cell>
          <cell r="D203">
            <v>90</v>
          </cell>
        </row>
        <row r="204">
          <cell r="B204" t="str">
            <v>EU.MY6709 16</v>
          </cell>
          <cell r="D204">
            <v>3742</v>
          </cell>
        </row>
        <row r="205">
          <cell r="B205" t="str">
            <v>EU.MY6709 16x20x16</v>
          </cell>
          <cell r="D205">
            <v>309</v>
          </cell>
        </row>
        <row r="206">
          <cell r="B206" t="str">
            <v>EU.MY6709 20</v>
          </cell>
          <cell r="D206">
            <v>4168</v>
          </cell>
        </row>
        <row r="207">
          <cell r="B207" t="str">
            <v>EU.MY6709 20x16x16</v>
          </cell>
          <cell r="D207">
            <v>944</v>
          </cell>
        </row>
        <row r="208">
          <cell r="B208" t="str">
            <v>EU.MY6709 20x16x20</v>
          </cell>
          <cell r="D208">
            <v>2301</v>
          </cell>
        </row>
        <row r="209">
          <cell r="B209" t="str">
            <v>EU.MY6709 20x20x16</v>
          </cell>
          <cell r="D209">
            <v>410</v>
          </cell>
        </row>
        <row r="210">
          <cell r="B210" t="str">
            <v>EU.MY6709 20x26x20</v>
          </cell>
          <cell r="D210">
            <v>111</v>
          </cell>
        </row>
        <row r="211">
          <cell r="B211" t="str">
            <v>EU.MY6709 26</v>
          </cell>
          <cell r="D211">
            <v>317</v>
          </cell>
        </row>
        <row r="212">
          <cell r="B212" t="str">
            <v>EU.MY6709 26x16x20</v>
          </cell>
          <cell r="D212">
            <v>98</v>
          </cell>
        </row>
        <row r="213">
          <cell r="B213" t="str">
            <v>EU.MY6709 26x16x26</v>
          </cell>
          <cell r="D213">
            <v>465</v>
          </cell>
        </row>
        <row r="214">
          <cell r="B214" t="str">
            <v>EU.MY6709 26x20x16</v>
          </cell>
          <cell r="D214">
            <v>91</v>
          </cell>
        </row>
        <row r="215">
          <cell r="B215" t="str">
            <v>EU.MY6709 26x20x20</v>
          </cell>
          <cell r="D215">
            <v>560</v>
          </cell>
        </row>
        <row r="216">
          <cell r="B216" t="str">
            <v>EU.MY6709 26x20x26</v>
          </cell>
          <cell r="D216">
            <v>2572</v>
          </cell>
        </row>
        <row r="217">
          <cell r="B217" t="str">
            <v>EU.MY6709 26x26x20</v>
          </cell>
          <cell r="D217">
            <v>188</v>
          </cell>
        </row>
        <row r="218">
          <cell r="B218" t="str">
            <v>EU.MY6709 26x32x26</v>
          </cell>
          <cell r="D218">
            <v>27</v>
          </cell>
        </row>
        <row r="219">
          <cell r="B219" t="str">
            <v>EU.MY6709 32</v>
          </cell>
          <cell r="D219">
            <v>326</v>
          </cell>
        </row>
        <row r="220">
          <cell r="B220" t="str">
            <v>EU.MY6709 32x20x32</v>
          </cell>
          <cell r="D220">
            <v>298</v>
          </cell>
        </row>
        <row r="221">
          <cell r="B221" t="str">
            <v>EU.MY6709 32x26x26</v>
          </cell>
          <cell r="D221">
            <v>71</v>
          </cell>
        </row>
        <row r="222">
          <cell r="B222" t="str">
            <v>EU.MY6709 32x26x32</v>
          </cell>
          <cell r="D222">
            <v>1558</v>
          </cell>
        </row>
        <row r="223">
          <cell r="B223" t="str">
            <v>EU.MY6710 16x12</v>
          </cell>
          <cell r="D223">
            <v>2880</v>
          </cell>
        </row>
        <row r="224">
          <cell r="B224" t="str">
            <v>EU.MY6710 20x12</v>
          </cell>
          <cell r="D224">
            <v>389</v>
          </cell>
        </row>
        <row r="226">
          <cell r="B226" t="str">
            <v>Радиаторные вентили EUROS</v>
          </cell>
          <cell r="C226">
            <v>0</v>
          </cell>
          <cell r="D226">
            <v>76560</v>
          </cell>
        </row>
        <row r="227">
          <cell r="B227" t="str">
            <v>-</v>
          </cell>
          <cell r="C227">
            <v>0</v>
          </cell>
        </row>
        <row r="228">
          <cell r="B228" t="str">
            <v>EU.ST6120030 12</v>
          </cell>
          <cell r="D228">
            <v>4136</v>
          </cell>
        </row>
        <row r="229">
          <cell r="B229" t="str">
            <v>EU.ST6120040 34</v>
          </cell>
          <cell r="D229">
            <v>776</v>
          </cell>
        </row>
        <row r="230">
          <cell r="B230" t="str">
            <v>EU.ST6121030 12</v>
          </cell>
          <cell r="D230">
            <v>6394</v>
          </cell>
        </row>
        <row r="231">
          <cell r="B231" t="str">
            <v>EU.ST6121040 34</v>
          </cell>
          <cell r="D231">
            <v>4507</v>
          </cell>
        </row>
        <row r="232">
          <cell r="B232" t="str">
            <v>EU.ST6122030 12</v>
          </cell>
          <cell r="D232">
            <v>25183</v>
          </cell>
        </row>
        <row r="233">
          <cell r="B233" t="str">
            <v>EU.ST6122040 34</v>
          </cell>
          <cell r="D233">
            <v>3630</v>
          </cell>
        </row>
        <row r="234">
          <cell r="B234" t="str">
            <v>EU.ST6123030 12</v>
          </cell>
          <cell r="D234">
            <v>8949</v>
          </cell>
        </row>
        <row r="235">
          <cell r="B235" t="str">
            <v>EU.ST6123040 34</v>
          </cell>
          <cell r="D235">
            <v>7989</v>
          </cell>
        </row>
        <row r="236">
          <cell r="B236" t="str">
            <v>EU.ST6130030 12</v>
          </cell>
          <cell r="D236">
            <v>7711</v>
          </cell>
        </row>
        <row r="237">
          <cell r="B237" t="str">
            <v>EU.ST6130040 34</v>
          </cell>
          <cell r="D237">
            <v>1358</v>
          </cell>
        </row>
        <row r="238">
          <cell r="B238" t="str">
            <v>EU.ST6131030 12</v>
          </cell>
          <cell r="D238">
            <v>3804</v>
          </cell>
        </row>
        <row r="239">
          <cell r="B239" t="str">
            <v>EU.ST6131040 34</v>
          </cell>
          <cell r="D239">
            <v>2123</v>
          </cell>
        </row>
        <row r="241">
          <cell r="B241" t="str">
            <v>Редуктора давления EUROS</v>
          </cell>
          <cell r="C241">
            <v>0</v>
          </cell>
          <cell r="D241">
            <v>15791</v>
          </cell>
        </row>
        <row r="242">
          <cell r="B242" t="str">
            <v>-</v>
          </cell>
          <cell r="C242">
            <v>0</v>
          </cell>
        </row>
        <row r="243">
          <cell r="B243" t="str">
            <v>EU.ST6042031 12</v>
          </cell>
          <cell r="D243">
            <v>15476</v>
          </cell>
        </row>
        <row r="244">
          <cell r="B244" t="str">
            <v>EU.ST6042041 34</v>
          </cell>
          <cell r="D244">
            <v>289</v>
          </cell>
        </row>
        <row r="245">
          <cell r="B245" t="str">
            <v>EU.ST6197030 12</v>
          </cell>
          <cell r="D245">
            <v>24</v>
          </cell>
        </row>
        <row r="246">
          <cell r="B246" t="str">
            <v>EU.ST6197040 34</v>
          </cell>
          <cell r="D246">
            <v>2</v>
          </cell>
        </row>
        <row r="248">
          <cell r="B248" t="str">
            <v>Резьбовые фитинги EUROS</v>
          </cell>
          <cell r="C248">
            <v>0</v>
          </cell>
          <cell r="D248">
            <v>758031</v>
          </cell>
        </row>
        <row r="249">
          <cell r="B249" t="str">
            <v>-</v>
          </cell>
          <cell r="C249">
            <v>0</v>
          </cell>
        </row>
        <row r="250">
          <cell r="B250" t="str">
            <v>EU.ST3012145 34x12</v>
          </cell>
          <cell r="D250">
            <v>12630</v>
          </cell>
        </row>
        <row r="251">
          <cell r="B251" t="str">
            <v>EU.ST3012165 1x12</v>
          </cell>
          <cell r="D251">
            <v>4579</v>
          </cell>
        </row>
        <row r="252">
          <cell r="B252" t="str">
            <v>EU.ST3012175 1x34</v>
          </cell>
          <cell r="D252">
            <v>4999</v>
          </cell>
        </row>
        <row r="253">
          <cell r="B253" t="str">
            <v>EU.ST3012185 114x34</v>
          </cell>
          <cell r="D253">
            <v>589</v>
          </cell>
        </row>
        <row r="254">
          <cell r="B254" t="str">
            <v>EU.ST3012195 114x1</v>
          </cell>
          <cell r="D254">
            <v>1262</v>
          </cell>
        </row>
        <row r="255">
          <cell r="B255" t="str">
            <v>EU.ST3012325 114x12</v>
          </cell>
          <cell r="D255">
            <v>479</v>
          </cell>
        </row>
        <row r="256">
          <cell r="B256" t="str">
            <v>EU.ST3013135 12x38</v>
          </cell>
          <cell r="D256">
            <v>3161</v>
          </cell>
        </row>
        <row r="257">
          <cell r="B257" t="str">
            <v>EU.ST3013155 34x12</v>
          </cell>
          <cell r="D257">
            <v>18231</v>
          </cell>
        </row>
        <row r="258">
          <cell r="B258" t="str">
            <v>EU.ST3013165 1x12</v>
          </cell>
          <cell r="D258">
            <v>5880</v>
          </cell>
        </row>
        <row r="259">
          <cell r="B259" t="str">
            <v>EU.ST3013175 1x34</v>
          </cell>
          <cell r="D259">
            <v>9011</v>
          </cell>
        </row>
        <row r="260">
          <cell r="B260" t="str">
            <v>EU.ST3013195 114х1</v>
          </cell>
          <cell r="D260">
            <v>2960</v>
          </cell>
        </row>
        <row r="261">
          <cell r="B261" t="str">
            <v>EU.ST3013335 112х114</v>
          </cell>
          <cell r="D261">
            <v>876</v>
          </cell>
        </row>
        <row r="262">
          <cell r="B262" t="str">
            <v>EU.ST3014035 12</v>
          </cell>
          <cell r="D262">
            <v>105723</v>
          </cell>
        </row>
        <row r="263">
          <cell r="B263" t="str">
            <v>EU.ST3014045 34</v>
          </cell>
          <cell r="D263">
            <v>22832</v>
          </cell>
        </row>
        <row r="264">
          <cell r="B264" t="str">
            <v>EU.ST3014055 1</v>
          </cell>
          <cell r="D264">
            <v>21878</v>
          </cell>
        </row>
        <row r="265">
          <cell r="B265" t="str">
            <v>EU.ST3014065 114</v>
          </cell>
          <cell r="D265">
            <v>4193</v>
          </cell>
        </row>
        <row r="266">
          <cell r="B266" t="str">
            <v>EU.ST3014075 112</v>
          </cell>
          <cell r="D266">
            <v>1644</v>
          </cell>
        </row>
        <row r="267">
          <cell r="B267" t="str">
            <v>EU.ST3014085 2</v>
          </cell>
          <cell r="D267">
            <v>1020</v>
          </cell>
        </row>
        <row r="268">
          <cell r="B268" t="str">
            <v>EU.ST3015035 12</v>
          </cell>
          <cell r="D268">
            <v>33018</v>
          </cell>
        </row>
        <row r="269">
          <cell r="B269" t="str">
            <v>EU.ST3015045 34</v>
          </cell>
          <cell r="D269">
            <v>10833</v>
          </cell>
        </row>
        <row r="270">
          <cell r="B270" t="str">
            <v>EU.ST3015055 1</v>
          </cell>
          <cell r="D270">
            <v>3748</v>
          </cell>
        </row>
        <row r="271">
          <cell r="B271" t="str">
            <v>EU.ST3015065 114</v>
          </cell>
          <cell r="D271">
            <v>852</v>
          </cell>
        </row>
        <row r="272">
          <cell r="B272" t="str">
            <v>EU.ST3015075 112</v>
          </cell>
          <cell r="D272">
            <v>516</v>
          </cell>
        </row>
        <row r="273">
          <cell r="B273" t="str">
            <v>EU.ST3015085 2</v>
          </cell>
          <cell r="D273">
            <v>319</v>
          </cell>
        </row>
        <row r="274">
          <cell r="B274" t="str">
            <v>EU.ST3017035 12</v>
          </cell>
          <cell r="D274">
            <v>52392</v>
          </cell>
        </row>
        <row r="275">
          <cell r="B275" t="str">
            <v>EU.ST3017045 34</v>
          </cell>
          <cell r="D275">
            <v>10631</v>
          </cell>
        </row>
        <row r="276">
          <cell r="B276" t="str">
            <v>EU.ST3017055 1</v>
          </cell>
          <cell r="D276">
            <v>5226</v>
          </cell>
        </row>
        <row r="277">
          <cell r="B277" t="str">
            <v>EU.ST3017065 114</v>
          </cell>
          <cell r="D277">
            <v>571</v>
          </cell>
        </row>
        <row r="278">
          <cell r="B278" t="str">
            <v>EU.ST3017075 112</v>
          </cell>
          <cell r="D278">
            <v>314</v>
          </cell>
        </row>
        <row r="279">
          <cell r="B279" t="str">
            <v>EU.ST3017085 2</v>
          </cell>
          <cell r="D279">
            <v>352</v>
          </cell>
        </row>
        <row r="280">
          <cell r="B280" t="str">
            <v>EU.ST3018155 34x12</v>
          </cell>
          <cell r="D280">
            <v>21410</v>
          </cell>
        </row>
        <row r="281">
          <cell r="B281" t="str">
            <v>EU.ST3018165 1x12</v>
          </cell>
          <cell r="D281">
            <v>6256</v>
          </cell>
        </row>
        <row r="282">
          <cell r="B282" t="str">
            <v>EU.ST3018175 1x34</v>
          </cell>
          <cell r="D282">
            <v>7260</v>
          </cell>
        </row>
        <row r="283">
          <cell r="B283" t="str">
            <v>EU.ST3018195 114x1</v>
          </cell>
          <cell r="D283">
            <v>2625</v>
          </cell>
        </row>
        <row r="284">
          <cell r="B284" t="str">
            <v>EU.ST3019035 12</v>
          </cell>
          <cell r="D284">
            <v>40222</v>
          </cell>
        </row>
        <row r="285">
          <cell r="B285" t="str">
            <v>EU.ST3019045 34</v>
          </cell>
          <cell r="D285">
            <v>5909</v>
          </cell>
        </row>
        <row r="286">
          <cell r="B286" t="str">
            <v>EU.ST3019055 1</v>
          </cell>
          <cell r="D286">
            <v>6985</v>
          </cell>
        </row>
        <row r="287">
          <cell r="B287" t="str">
            <v>EU.ST3019065 114</v>
          </cell>
          <cell r="D287">
            <v>411</v>
          </cell>
        </row>
        <row r="288">
          <cell r="B288" t="str">
            <v>EU.ST3019075 112</v>
          </cell>
          <cell r="D288">
            <v>4145</v>
          </cell>
        </row>
        <row r="289">
          <cell r="B289" t="str">
            <v>EU.ST3019085 2</v>
          </cell>
          <cell r="D289">
            <v>237</v>
          </cell>
        </row>
        <row r="290">
          <cell r="B290" t="str">
            <v>EU.ST3021035 12</v>
          </cell>
          <cell r="D290">
            <v>9898</v>
          </cell>
        </row>
        <row r="291">
          <cell r="B291" t="str">
            <v>EU.ST3021045 34</v>
          </cell>
          <cell r="D291">
            <v>5291</v>
          </cell>
        </row>
        <row r="292">
          <cell r="B292" t="str">
            <v>EU.ST3021055 1</v>
          </cell>
          <cell r="D292">
            <v>2300</v>
          </cell>
        </row>
        <row r="293">
          <cell r="B293" t="str">
            <v>EU.ST3021065 114</v>
          </cell>
          <cell r="D293">
            <v>626</v>
          </cell>
        </row>
        <row r="294">
          <cell r="B294" t="str">
            <v>EU.ST3021075 112</v>
          </cell>
          <cell r="D294">
            <v>322</v>
          </cell>
        </row>
        <row r="295">
          <cell r="B295" t="str">
            <v>EU.ST3021085 2</v>
          </cell>
          <cell r="D295">
            <v>169</v>
          </cell>
        </row>
        <row r="296">
          <cell r="B296" t="str">
            <v>EU.ST3022035 12</v>
          </cell>
          <cell r="D296">
            <v>2442</v>
          </cell>
        </row>
        <row r="297">
          <cell r="B297" t="str">
            <v>EU.ST3022045 34</v>
          </cell>
          <cell r="D297">
            <v>2470</v>
          </cell>
        </row>
        <row r="298">
          <cell r="B298" t="str">
            <v>EU.ST3022055 1</v>
          </cell>
          <cell r="D298">
            <v>1210</v>
          </cell>
        </row>
        <row r="299">
          <cell r="B299" t="str">
            <v>EU.ST3022065 114</v>
          </cell>
          <cell r="D299">
            <v>595</v>
          </cell>
        </row>
        <row r="300">
          <cell r="B300" t="str">
            <v>EU.ST3024035 12</v>
          </cell>
          <cell r="D300">
            <v>37111</v>
          </cell>
        </row>
        <row r="301">
          <cell r="B301" t="str">
            <v>EU.ST3024045 34</v>
          </cell>
          <cell r="D301">
            <v>4242</v>
          </cell>
        </row>
        <row r="302">
          <cell r="B302" t="str">
            <v>EU.ST3024055 1</v>
          </cell>
          <cell r="D302">
            <v>2352</v>
          </cell>
        </row>
        <row r="303">
          <cell r="B303" t="str">
            <v>EU.ST3024065 114</v>
          </cell>
          <cell r="D303">
            <v>204</v>
          </cell>
        </row>
        <row r="304">
          <cell r="B304" t="str">
            <v>EU.ST3024075 112</v>
          </cell>
          <cell r="D304">
            <v>129</v>
          </cell>
        </row>
        <row r="305">
          <cell r="B305" t="str">
            <v>EU.ST3024085 2</v>
          </cell>
          <cell r="D305">
            <v>112</v>
          </cell>
        </row>
        <row r="306">
          <cell r="B306" t="str">
            <v>EU.ST3026030 12</v>
          </cell>
          <cell r="D306">
            <v>4655</v>
          </cell>
        </row>
        <row r="307">
          <cell r="B307" t="str">
            <v>EU.ST3031035 12</v>
          </cell>
          <cell r="D307">
            <v>22641</v>
          </cell>
        </row>
        <row r="308">
          <cell r="B308" t="str">
            <v>EU.ST3031045 34</v>
          </cell>
          <cell r="D308">
            <v>1169</v>
          </cell>
        </row>
        <row r="309">
          <cell r="B309" t="str">
            <v>EU.ST3031055 1</v>
          </cell>
          <cell r="D309">
            <v>633</v>
          </cell>
        </row>
        <row r="310">
          <cell r="B310" t="str">
            <v>EU.ST3033035 12</v>
          </cell>
          <cell r="D310">
            <v>1991</v>
          </cell>
        </row>
        <row r="311">
          <cell r="B311" t="str">
            <v>EU.ST3033045 34</v>
          </cell>
          <cell r="D311">
            <v>282</v>
          </cell>
        </row>
        <row r="312">
          <cell r="B312" t="str">
            <v>EU.ST3036035 12x12</v>
          </cell>
          <cell r="D312">
            <v>27</v>
          </cell>
        </row>
        <row r="313">
          <cell r="B313" t="str">
            <v>EU.ST3037060 12x60</v>
          </cell>
          <cell r="D313">
            <v>849</v>
          </cell>
        </row>
        <row r="314">
          <cell r="B314" t="str">
            <v>EU.ST3037080 12x80</v>
          </cell>
          <cell r="D314">
            <v>591</v>
          </cell>
        </row>
        <row r="315">
          <cell r="B315" t="str">
            <v>EU.ST3037100 12x100</v>
          </cell>
          <cell r="D315">
            <v>490</v>
          </cell>
        </row>
        <row r="316">
          <cell r="B316" t="str">
            <v>EU.ST3037150 12*150</v>
          </cell>
          <cell r="D316">
            <v>307</v>
          </cell>
        </row>
        <row r="317">
          <cell r="B317" t="str">
            <v>EU.ST3037200 12x200</v>
          </cell>
          <cell r="D317">
            <v>181</v>
          </cell>
        </row>
        <row r="318">
          <cell r="B318" t="str">
            <v>EU.ST3037250 12x250</v>
          </cell>
          <cell r="D318">
            <v>154</v>
          </cell>
        </row>
        <row r="319">
          <cell r="B319" t="str">
            <v>EU.ST3038035 12</v>
          </cell>
          <cell r="D319">
            <v>2957</v>
          </cell>
        </row>
        <row r="320">
          <cell r="B320" t="str">
            <v>EU.ST3038045 34</v>
          </cell>
          <cell r="D320">
            <v>1998</v>
          </cell>
        </row>
        <row r="321">
          <cell r="B321" t="str">
            <v>EU.ST3038055 1</v>
          </cell>
          <cell r="D321">
            <v>1631</v>
          </cell>
        </row>
        <row r="322">
          <cell r="B322" t="str">
            <v>EU.ST3038065 114</v>
          </cell>
          <cell r="D322">
            <v>330</v>
          </cell>
        </row>
        <row r="323">
          <cell r="B323" t="str">
            <v>EU.ST3038075 1 1/2</v>
          </cell>
          <cell r="D323">
            <v>231</v>
          </cell>
        </row>
        <row r="324">
          <cell r="B324" t="str">
            <v>EU.ST3038085 2</v>
          </cell>
          <cell r="D324">
            <v>138</v>
          </cell>
        </row>
        <row r="325">
          <cell r="B325" t="str">
            <v>EU.ST3040130 12х14</v>
          </cell>
          <cell r="D325">
            <v>1336</v>
          </cell>
        </row>
        <row r="326">
          <cell r="B326" t="str">
            <v>EU.ST3040230 12х16</v>
          </cell>
          <cell r="D326">
            <v>1897</v>
          </cell>
        </row>
        <row r="327">
          <cell r="B327" t="str">
            <v>EU.ST3040240 34х20</v>
          </cell>
          <cell r="D327">
            <v>1703</v>
          </cell>
        </row>
        <row r="328">
          <cell r="B328" t="str">
            <v>EU.ST3040330 12х18</v>
          </cell>
          <cell r="D328">
            <v>2100</v>
          </cell>
        </row>
        <row r="329">
          <cell r="B329" t="str">
            <v>EU.ST3040430 12х20</v>
          </cell>
          <cell r="D329">
            <v>2662</v>
          </cell>
        </row>
        <row r="330">
          <cell r="B330" t="str">
            <v>EU.ST3045085 2</v>
          </cell>
          <cell r="D330">
            <v>184</v>
          </cell>
        </row>
        <row r="331">
          <cell r="B331" t="str">
            <v>EU.ST3046035 12</v>
          </cell>
          <cell r="D331">
            <v>18574</v>
          </cell>
        </row>
        <row r="332">
          <cell r="B332" t="str">
            <v>EU.ST3046045 34</v>
          </cell>
          <cell r="D332">
            <v>14972</v>
          </cell>
        </row>
        <row r="333">
          <cell r="B333" t="str">
            <v>EU.ST3046055 1</v>
          </cell>
          <cell r="D333">
            <v>8018</v>
          </cell>
        </row>
        <row r="334">
          <cell r="B334" t="str">
            <v>EU.ST3046075 112</v>
          </cell>
          <cell r="D334">
            <v>827</v>
          </cell>
        </row>
        <row r="335">
          <cell r="B335" t="str">
            <v>EU.ST3046085 2</v>
          </cell>
          <cell r="D335">
            <v>361</v>
          </cell>
        </row>
        <row r="336">
          <cell r="B336" t="str">
            <v>EU.ST3046335 114</v>
          </cell>
          <cell r="D336">
            <v>2777</v>
          </cell>
        </row>
        <row r="337">
          <cell r="B337" t="str">
            <v>EU.ST3046345 112</v>
          </cell>
          <cell r="D337">
            <v>513</v>
          </cell>
        </row>
        <row r="338">
          <cell r="B338" t="str">
            <v>EU.ST3046415 2</v>
          </cell>
          <cell r="D338">
            <v>397</v>
          </cell>
        </row>
        <row r="339">
          <cell r="B339" t="str">
            <v>EU.ST3047035 12</v>
          </cell>
          <cell r="D339">
            <v>15893</v>
          </cell>
        </row>
        <row r="340">
          <cell r="B340" t="str">
            <v>EU.ST3047045 34</v>
          </cell>
          <cell r="D340">
            <v>4618</v>
          </cell>
        </row>
        <row r="341">
          <cell r="B341" t="str">
            <v>EU.ST3047055 1</v>
          </cell>
          <cell r="D341">
            <v>3206</v>
          </cell>
        </row>
        <row r="342">
          <cell r="B342" t="str">
            <v>EU.ST3047065 114</v>
          </cell>
          <cell r="D342">
            <v>665</v>
          </cell>
        </row>
        <row r="343">
          <cell r="B343" t="str">
            <v>EU.ST3047075 112</v>
          </cell>
          <cell r="D343">
            <v>464</v>
          </cell>
        </row>
        <row r="344">
          <cell r="B344" t="str">
            <v>EU.ST3047085 2</v>
          </cell>
          <cell r="D344">
            <v>291</v>
          </cell>
        </row>
        <row r="345">
          <cell r="B345" t="str">
            <v>EU.ST3047145 34x12x34</v>
          </cell>
          <cell r="D345">
            <v>4459</v>
          </cell>
        </row>
        <row r="346">
          <cell r="B346" t="str">
            <v>EU.ST3047165 1x34x1</v>
          </cell>
          <cell r="D346">
            <v>885</v>
          </cell>
        </row>
        <row r="347">
          <cell r="B347" t="str">
            <v>EU.ST3047185 114x34x114</v>
          </cell>
          <cell r="D347">
            <v>451</v>
          </cell>
        </row>
        <row r="348">
          <cell r="B348" t="str">
            <v>EU.ST3047195 114x1x114</v>
          </cell>
          <cell r="D348">
            <v>166</v>
          </cell>
        </row>
        <row r="349">
          <cell r="B349" t="str">
            <v>EU.ST3047215 1x12x1</v>
          </cell>
          <cell r="D349">
            <v>3845</v>
          </cell>
        </row>
        <row r="350">
          <cell r="B350" t="str">
            <v>EU.ST3049035 12</v>
          </cell>
          <cell r="D350">
            <v>1036</v>
          </cell>
        </row>
        <row r="351">
          <cell r="B351" t="str">
            <v>EU.ST3050155 34x12</v>
          </cell>
          <cell r="D351">
            <v>15561</v>
          </cell>
        </row>
        <row r="352">
          <cell r="B352" t="str">
            <v>EU.ST3050165 1х12</v>
          </cell>
          <cell r="D352">
            <v>3695</v>
          </cell>
        </row>
        <row r="353">
          <cell r="B353" t="str">
            <v>EU.ST3050175 1х34</v>
          </cell>
          <cell r="D353">
            <v>5331</v>
          </cell>
        </row>
        <row r="354">
          <cell r="B354" t="str">
            <v>EU.ST3050185 114х34</v>
          </cell>
          <cell r="D354">
            <v>787</v>
          </cell>
        </row>
        <row r="355">
          <cell r="B355" t="str">
            <v>EU.ST3050195 114х1</v>
          </cell>
          <cell r="D355">
            <v>1268</v>
          </cell>
        </row>
        <row r="356">
          <cell r="B356" t="str">
            <v>EU.ST3051035 12</v>
          </cell>
          <cell r="D356">
            <v>3971</v>
          </cell>
        </row>
        <row r="357">
          <cell r="B357" t="str">
            <v>EU.ST3059155 12</v>
          </cell>
          <cell r="D357">
            <v>1747</v>
          </cell>
        </row>
        <row r="358">
          <cell r="B358" t="str">
            <v>EU.ST3059175 34</v>
          </cell>
          <cell r="D358">
            <v>1256</v>
          </cell>
        </row>
        <row r="359">
          <cell r="B359" t="str">
            <v>EU.ST3076035 12</v>
          </cell>
          <cell r="D359">
            <v>16333</v>
          </cell>
        </row>
        <row r="360">
          <cell r="B360" t="str">
            <v>EU.ST3076045 34</v>
          </cell>
          <cell r="D360">
            <v>3565</v>
          </cell>
        </row>
        <row r="361">
          <cell r="B361" t="str">
            <v>EU.ST3094150 34x12</v>
          </cell>
          <cell r="D361">
            <v>3084</v>
          </cell>
        </row>
        <row r="362">
          <cell r="B362" t="str">
            <v>EU.ST3095080 12x80</v>
          </cell>
          <cell r="D362">
            <v>1822</v>
          </cell>
        </row>
        <row r="363">
          <cell r="B363" t="str">
            <v>EU.ST3095100 12x100</v>
          </cell>
          <cell r="D363">
            <v>469</v>
          </cell>
        </row>
        <row r="364">
          <cell r="B364" t="str">
            <v>EU.ST3095150 12x150</v>
          </cell>
          <cell r="D364">
            <v>332</v>
          </cell>
        </row>
        <row r="365">
          <cell r="B365" t="str">
            <v>EU.ST3095200 12x200</v>
          </cell>
          <cell r="D365">
            <v>177</v>
          </cell>
        </row>
        <row r="366">
          <cell r="B366" t="str">
            <v>EU.ST3095250 12x250</v>
          </cell>
          <cell r="D366">
            <v>136</v>
          </cell>
        </row>
        <row r="367">
          <cell r="B367" t="str">
            <v>EU.ST3265030 12</v>
          </cell>
          <cell r="D367">
            <v>1665</v>
          </cell>
        </row>
        <row r="368">
          <cell r="B368" t="str">
            <v>EU.ST3265040 34</v>
          </cell>
          <cell r="D368">
            <v>1426</v>
          </cell>
        </row>
        <row r="369">
          <cell r="B369" t="str">
            <v>EU.ST3265050 1</v>
          </cell>
          <cell r="D369">
            <v>1214</v>
          </cell>
        </row>
        <row r="370">
          <cell r="B370" t="str">
            <v>EU.ST3271015 12х10</v>
          </cell>
          <cell r="D370">
            <v>4488</v>
          </cell>
        </row>
        <row r="371">
          <cell r="B371" t="str">
            <v>EU.ST3271025 12х15</v>
          </cell>
          <cell r="D371">
            <v>3360</v>
          </cell>
        </row>
        <row r="372">
          <cell r="B372" t="str">
            <v>EU.ST3271035 12х20</v>
          </cell>
          <cell r="D372">
            <v>4796</v>
          </cell>
        </row>
        <row r="373">
          <cell r="B373" t="str">
            <v>EU.ST3271055 12х30</v>
          </cell>
          <cell r="D373">
            <v>2671</v>
          </cell>
        </row>
        <row r="374">
          <cell r="B374" t="str">
            <v>EU.ST3271075 12х40</v>
          </cell>
          <cell r="D374">
            <v>1986</v>
          </cell>
        </row>
        <row r="375">
          <cell r="B375" t="str">
            <v>EU.ST3271095 12х50</v>
          </cell>
          <cell r="D375">
            <v>3712</v>
          </cell>
        </row>
        <row r="376">
          <cell r="B376" t="str">
            <v>EU.ST3272035 12</v>
          </cell>
          <cell r="D376">
            <v>8409</v>
          </cell>
        </row>
        <row r="377">
          <cell r="B377" t="str">
            <v>EU.ST8009030 12х01х20</v>
          </cell>
          <cell r="D377">
            <v>12103</v>
          </cell>
        </row>
        <row r="378">
          <cell r="B378" t="str">
            <v>EU.ST8009040 19х012х15</v>
          </cell>
          <cell r="D378">
            <v>13460</v>
          </cell>
        </row>
        <row r="380">
          <cell r="B380" t="str">
            <v>Фильтры механической очистки EUROS</v>
          </cell>
          <cell r="C380">
            <v>0</v>
          </cell>
          <cell r="D380">
            <v>94413</v>
          </cell>
        </row>
        <row r="381">
          <cell r="B381" t="str">
            <v>-</v>
          </cell>
          <cell r="C381">
            <v>0</v>
          </cell>
        </row>
        <row r="382">
          <cell r="B382" t="str">
            <v>EU.ST4009037 12</v>
          </cell>
          <cell r="D382">
            <v>73819</v>
          </cell>
        </row>
        <row r="383">
          <cell r="B383" t="str">
            <v>EU.ST4009047 34</v>
          </cell>
          <cell r="D383">
            <v>7022</v>
          </cell>
        </row>
        <row r="384">
          <cell r="B384" t="str">
            <v>EU.ST4009057 1</v>
          </cell>
          <cell r="D384">
            <v>3435</v>
          </cell>
        </row>
        <row r="385">
          <cell r="B385" t="str">
            <v>EU.ST4009067 114</v>
          </cell>
          <cell r="D385">
            <v>1141</v>
          </cell>
        </row>
        <row r="386">
          <cell r="B386" t="str">
            <v>EU.ST4009077 112</v>
          </cell>
          <cell r="D386">
            <v>364</v>
          </cell>
        </row>
        <row r="387">
          <cell r="B387" t="str">
            <v>EU.ST4009087 2</v>
          </cell>
          <cell r="D387">
            <v>367</v>
          </cell>
        </row>
        <row r="388">
          <cell r="B388" t="str">
            <v>EU.ST4022035 12</v>
          </cell>
          <cell r="D388">
            <v>1251</v>
          </cell>
        </row>
        <row r="389">
          <cell r="B389" t="str">
            <v>EU.ST4022045 34</v>
          </cell>
          <cell r="D389">
            <v>286</v>
          </cell>
        </row>
        <row r="390">
          <cell r="B390" t="str">
            <v>EU.ST4023035 12</v>
          </cell>
          <cell r="D390">
            <v>363</v>
          </cell>
        </row>
        <row r="391">
          <cell r="B391" t="str">
            <v>EU.ST4023045 34</v>
          </cell>
          <cell r="D391">
            <v>49</v>
          </cell>
        </row>
        <row r="392">
          <cell r="B392" t="str">
            <v>EU.ST4082035 12</v>
          </cell>
          <cell r="D392">
            <v>3033</v>
          </cell>
        </row>
        <row r="393">
          <cell r="B393" t="str">
            <v>EU.ST4082045 34</v>
          </cell>
          <cell r="D393">
            <v>732</v>
          </cell>
        </row>
        <row r="394">
          <cell r="B394" t="str">
            <v>EU.ST4082055 1</v>
          </cell>
          <cell r="D394">
            <v>1207</v>
          </cell>
        </row>
        <row r="395">
          <cell r="B395" t="str">
            <v>EU.ST6026035 12</v>
          </cell>
          <cell r="D395">
            <v>363</v>
          </cell>
        </row>
        <row r="396">
          <cell r="B396" t="str">
            <v>EU.ST6026045 34</v>
          </cell>
          <cell r="D396">
            <v>412</v>
          </cell>
        </row>
        <row r="397">
          <cell r="B397" t="str">
            <v>EU.ST6026055 1</v>
          </cell>
          <cell r="D397">
            <v>486</v>
          </cell>
        </row>
        <row r="398">
          <cell r="B398" t="str">
            <v>EU.ST6198030 12</v>
          </cell>
          <cell r="D398">
            <v>8</v>
          </cell>
        </row>
        <row r="399">
          <cell r="B399" t="str">
            <v>EU.ST6199030 12</v>
          </cell>
          <cell r="D399">
            <v>30</v>
          </cell>
        </row>
        <row r="400">
          <cell r="B400" t="str">
            <v>EU.ST6200030 12</v>
          </cell>
          <cell r="D400">
            <v>25</v>
          </cell>
        </row>
        <row r="401">
          <cell r="B401" t="str">
            <v>EU.ST6201030 12</v>
          </cell>
          <cell r="D401">
            <v>20</v>
          </cell>
        </row>
        <row r="403">
          <cell r="B403" t="str">
            <v>Цанговые фитинги EUROS</v>
          </cell>
          <cell r="C403">
            <v>0</v>
          </cell>
          <cell r="D403">
            <v>150054</v>
          </cell>
        </row>
        <row r="404">
          <cell r="B404" t="str">
            <v>-</v>
          </cell>
          <cell r="C404">
            <v>0</v>
          </cell>
        </row>
        <row r="405">
          <cell r="B405" t="str">
            <v>EU.MY6501 16x12</v>
          </cell>
          <cell r="D405">
            <v>16601</v>
          </cell>
        </row>
        <row r="406">
          <cell r="B406" t="str">
            <v>EU.MY6501 16x34</v>
          </cell>
          <cell r="D406">
            <v>1568</v>
          </cell>
        </row>
        <row r="407">
          <cell r="B407" t="str">
            <v>EU.MY6501 20x12</v>
          </cell>
          <cell r="D407">
            <v>3753</v>
          </cell>
        </row>
        <row r="408">
          <cell r="B408" t="str">
            <v>EU.MY6501 20x34</v>
          </cell>
          <cell r="D408">
            <v>4375</v>
          </cell>
        </row>
        <row r="409">
          <cell r="B409" t="str">
            <v>EU.MY6501 26x1</v>
          </cell>
          <cell r="D409">
            <v>985</v>
          </cell>
        </row>
        <row r="410">
          <cell r="B410" t="str">
            <v>EU.MY6501 26x34</v>
          </cell>
          <cell r="D410">
            <v>1222</v>
          </cell>
        </row>
        <row r="411">
          <cell r="B411" t="str">
            <v>EU.MY6501 32x1</v>
          </cell>
          <cell r="D411">
            <v>142</v>
          </cell>
        </row>
        <row r="412">
          <cell r="B412" t="str">
            <v>EU.MY6502 16x12</v>
          </cell>
          <cell r="D412">
            <v>19809</v>
          </cell>
        </row>
        <row r="413">
          <cell r="B413" t="str">
            <v>EU.MY6502 16x34</v>
          </cell>
          <cell r="D413">
            <v>1884</v>
          </cell>
        </row>
        <row r="414">
          <cell r="B414" t="str">
            <v>EU.MY6502 20x12</v>
          </cell>
          <cell r="D414">
            <v>3134</v>
          </cell>
        </row>
        <row r="415">
          <cell r="B415" t="str">
            <v>EU.MY6502 20x34</v>
          </cell>
          <cell r="D415">
            <v>2945</v>
          </cell>
        </row>
        <row r="416">
          <cell r="B416" t="str">
            <v>EU.MY6502 26x1</v>
          </cell>
          <cell r="D416">
            <v>604</v>
          </cell>
        </row>
        <row r="417">
          <cell r="B417" t="str">
            <v>EU.MY6502 26x34</v>
          </cell>
          <cell r="D417">
            <v>575</v>
          </cell>
        </row>
        <row r="418">
          <cell r="B418" t="str">
            <v>EU.MY6502 32х1</v>
          </cell>
          <cell r="D418">
            <v>98</v>
          </cell>
        </row>
        <row r="419">
          <cell r="B419" t="str">
            <v>EU.MY6503 16</v>
          </cell>
          <cell r="D419">
            <v>3193</v>
          </cell>
        </row>
        <row r="420">
          <cell r="B420" t="str">
            <v>EU.MY6503 20</v>
          </cell>
          <cell r="D420">
            <v>1144</v>
          </cell>
        </row>
        <row r="421">
          <cell r="B421" t="str">
            <v>EU.MY6503 20x16</v>
          </cell>
          <cell r="D421">
            <v>497</v>
          </cell>
        </row>
        <row r="422">
          <cell r="B422" t="str">
            <v>EU.MY6503 26</v>
          </cell>
          <cell r="D422">
            <v>466</v>
          </cell>
        </row>
        <row r="423">
          <cell r="B423" t="str">
            <v>EU.MY6503 26x20</v>
          </cell>
          <cell r="D423">
            <v>291</v>
          </cell>
        </row>
        <row r="424">
          <cell r="B424" t="str">
            <v>EU.MY6503 26х16</v>
          </cell>
          <cell r="D424">
            <v>120</v>
          </cell>
        </row>
        <row r="425">
          <cell r="B425" t="str">
            <v>EU.MY6503 32</v>
          </cell>
          <cell r="D425">
            <v>47</v>
          </cell>
        </row>
        <row r="426">
          <cell r="B426" t="str">
            <v>EU.MY6504 16x12</v>
          </cell>
          <cell r="D426">
            <v>5467</v>
          </cell>
        </row>
        <row r="427">
          <cell r="B427" t="str">
            <v>EU.MY6504 16x34</v>
          </cell>
          <cell r="D427">
            <v>506</v>
          </cell>
        </row>
        <row r="428">
          <cell r="B428" t="str">
            <v>EU.MY6504 20x12</v>
          </cell>
          <cell r="D428">
            <v>537</v>
          </cell>
        </row>
        <row r="429">
          <cell r="B429" t="str">
            <v>EU.MY6504 20x34</v>
          </cell>
          <cell r="D429">
            <v>628</v>
          </cell>
        </row>
        <row r="430">
          <cell r="B430" t="str">
            <v>EU.MY6504 26x1</v>
          </cell>
          <cell r="D430">
            <v>148</v>
          </cell>
        </row>
        <row r="431">
          <cell r="B431" t="str">
            <v>EU.MY6504 26x34</v>
          </cell>
          <cell r="D431">
            <v>130</v>
          </cell>
        </row>
        <row r="432">
          <cell r="B432" t="str">
            <v>EU.MY6504 32x1</v>
          </cell>
          <cell r="D432">
            <v>96</v>
          </cell>
        </row>
        <row r="433">
          <cell r="B433" t="str">
            <v>EU.MY6505 16x12</v>
          </cell>
          <cell r="D433">
            <v>52746</v>
          </cell>
        </row>
        <row r="434">
          <cell r="B434" t="str">
            <v>EU.MY6505 16x34</v>
          </cell>
          <cell r="D434">
            <v>422</v>
          </cell>
        </row>
        <row r="435">
          <cell r="B435" t="str">
            <v>EU.MY6505 20x12</v>
          </cell>
          <cell r="D435">
            <v>300</v>
          </cell>
        </row>
        <row r="436">
          <cell r="B436" t="str">
            <v>EU.MY6505 20x34</v>
          </cell>
          <cell r="D436">
            <v>496</v>
          </cell>
        </row>
        <row r="437">
          <cell r="B437" t="str">
            <v>EU.MY6505 26x1</v>
          </cell>
          <cell r="D437">
            <v>158</v>
          </cell>
        </row>
        <row r="438">
          <cell r="B438" t="str">
            <v>EU.MY6505 26x34</v>
          </cell>
          <cell r="D438">
            <v>294</v>
          </cell>
        </row>
        <row r="439">
          <cell r="B439" t="str">
            <v>EU.MY6505 32x1</v>
          </cell>
          <cell r="D439">
            <v>40</v>
          </cell>
        </row>
        <row r="440">
          <cell r="B440" t="str">
            <v>EU.MY6506 16</v>
          </cell>
          <cell r="D440">
            <v>4809</v>
          </cell>
        </row>
        <row r="441">
          <cell r="B441" t="str">
            <v>EU.MY6506 20</v>
          </cell>
          <cell r="D441">
            <v>2908</v>
          </cell>
        </row>
        <row r="442">
          <cell r="B442" t="str">
            <v>EU.MY6506 26</v>
          </cell>
          <cell r="D442">
            <v>759</v>
          </cell>
        </row>
        <row r="443">
          <cell r="B443" t="str">
            <v>EU.MY6506 32</v>
          </cell>
          <cell r="D443">
            <v>103</v>
          </cell>
        </row>
        <row r="444">
          <cell r="B444" t="str">
            <v>EU.MY6507 16x12x16</v>
          </cell>
          <cell r="D444">
            <v>1553</v>
          </cell>
        </row>
        <row r="445">
          <cell r="B445" t="str">
            <v>EU.MY6507 16x34x16</v>
          </cell>
          <cell r="D445">
            <v>303</v>
          </cell>
        </row>
        <row r="446">
          <cell r="B446" t="str">
            <v>EU.MY6507 20x12x20</v>
          </cell>
          <cell r="D446">
            <v>778</v>
          </cell>
        </row>
        <row r="447">
          <cell r="B447" t="str">
            <v>EU.MY6507 20x34x20</v>
          </cell>
          <cell r="D447">
            <v>385</v>
          </cell>
        </row>
        <row r="448">
          <cell r="B448" t="str">
            <v>EU.MY6507 26x34x26</v>
          </cell>
          <cell r="D448">
            <v>179</v>
          </cell>
        </row>
        <row r="449">
          <cell r="B449" t="str">
            <v>EU.MY6507 32x1x32</v>
          </cell>
          <cell r="D449">
            <v>31</v>
          </cell>
        </row>
        <row r="450">
          <cell r="B450" t="str">
            <v>EU.MY6508 16x12x16</v>
          </cell>
          <cell r="D450">
            <v>1058</v>
          </cell>
        </row>
        <row r="451">
          <cell r="B451" t="str">
            <v>EU.MY6508 16x34x16</v>
          </cell>
          <cell r="D451">
            <v>258</v>
          </cell>
        </row>
        <row r="452">
          <cell r="B452" t="str">
            <v>EU.MY6508 20x12x20</v>
          </cell>
          <cell r="D452">
            <v>371</v>
          </cell>
        </row>
        <row r="453">
          <cell r="B453" t="str">
            <v>EU.MY6508 20x34x20</v>
          </cell>
          <cell r="D453">
            <v>271</v>
          </cell>
        </row>
        <row r="454">
          <cell r="B454" t="str">
            <v>EU.MY6508 26x1x26</v>
          </cell>
          <cell r="D454">
            <v>91</v>
          </cell>
        </row>
        <row r="455">
          <cell r="B455" t="str">
            <v>EU.MY6508 26x34x26</v>
          </cell>
          <cell r="D455">
            <v>149</v>
          </cell>
        </row>
        <row r="456">
          <cell r="B456" t="str">
            <v>EU.MY6508 32x1x32</v>
          </cell>
          <cell r="D456">
            <v>45</v>
          </cell>
        </row>
        <row r="457">
          <cell r="B457" t="str">
            <v>EU.MY6509 16</v>
          </cell>
          <cell r="D457">
            <v>4949</v>
          </cell>
        </row>
        <row r="458">
          <cell r="B458" t="str">
            <v>EU.MY6509 16x20x16</v>
          </cell>
          <cell r="D458">
            <v>95</v>
          </cell>
        </row>
        <row r="459">
          <cell r="B459" t="str">
            <v>EU.MY6509 20</v>
          </cell>
          <cell r="D459">
            <v>1780</v>
          </cell>
        </row>
        <row r="460">
          <cell r="B460" t="str">
            <v>EU.MY6509 20x16x16</v>
          </cell>
          <cell r="D460">
            <v>266</v>
          </cell>
        </row>
        <row r="461">
          <cell r="B461" t="str">
            <v>EU.MY6509 20x16x20</v>
          </cell>
          <cell r="D461">
            <v>250</v>
          </cell>
        </row>
        <row r="462">
          <cell r="B462" t="str">
            <v>EU.MY6509 20x20x16</v>
          </cell>
          <cell r="D462">
            <v>52</v>
          </cell>
        </row>
        <row r="463">
          <cell r="B463" t="str">
            <v>EU.MY6509 26</v>
          </cell>
          <cell r="D463">
            <v>236</v>
          </cell>
        </row>
        <row r="464">
          <cell r="B464" t="str">
            <v>EU.MY6509 26x16x26</v>
          </cell>
          <cell r="D464">
            <v>164</v>
          </cell>
        </row>
        <row r="465">
          <cell r="B465" t="str">
            <v>EU.MY6509 26x20x26</v>
          </cell>
          <cell r="D465">
            <v>321</v>
          </cell>
        </row>
        <row r="466">
          <cell r="B466" t="str">
            <v>EU.MY6509 32</v>
          </cell>
          <cell r="D466">
            <v>60</v>
          </cell>
        </row>
        <row r="467">
          <cell r="B467" t="str">
            <v>EU.MY6509 32x16x32</v>
          </cell>
          <cell r="D467">
            <v>15</v>
          </cell>
        </row>
        <row r="468">
          <cell r="B468" t="str">
            <v>EU.MY6509 32x20x32</v>
          </cell>
          <cell r="D468">
            <v>25</v>
          </cell>
        </row>
        <row r="469">
          <cell r="B469" t="str">
            <v>EU.MY6509 32x26x32</v>
          </cell>
          <cell r="D469">
            <v>15</v>
          </cell>
        </row>
        <row r="470">
          <cell r="B470" t="str">
            <v>EU.MY6510 16</v>
          </cell>
          <cell r="D470">
            <v>90</v>
          </cell>
        </row>
        <row r="471">
          <cell r="B471" t="str">
            <v>EU.MY6511 16x12</v>
          </cell>
          <cell r="D471">
            <v>1788</v>
          </cell>
        </row>
        <row r="472">
          <cell r="B472" t="str">
            <v>EU.MY6511 20x12</v>
          </cell>
          <cell r="D472">
            <v>476</v>
          </cell>
        </row>
        <row r="474">
          <cell r="B474" t="str">
            <v>Шаровые краны EUROS</v>
          </cell>
          <cell r="C474">
            <v>0</v>
          </cell>
          <cell r="D474">
            <v>360416</v>
          </cell>
        </row>
        <row r="475">
          <cell r="B475" t="str">
            <v>-</v>
          </cell>
          <cell r="C475">
            <v>0</v>
          </cell>
        </row>
        <row r="476">
          <cell r="B476" t="str">
            <v>EU.SD8001012 12</v>
          </cell>
          <cell r="D476">
            <v>3624</v>
          </cell>
        </row>
        <row r="477">
          <cell r="B477" t="str">
            <v>EU.SD8001034 34</v>
          </cell>
          <cell r="D477">
            <v>2210</v>
          </cell>
        </row>
        <row r="478">
          <cell r="B478" t="str">
            <v>EU.SD8001100 1</v>
          </cell>
          <cell r="D478">
            <v>1383</v>
          </cell>
        </row>
        <row r="479">
          <cell r="B479" t="str">
            <v>EU.SD8002012 12</v>
          </cell>
          <cell r="D479">
            <v>1814</v>
          </cell>
        </row>
        <row r="480">
          <cell r="B480" t="str">
            <v>EU.SD8002034 34</v>
          </cell>
          <cell r="D480">
            <v>730</v>
          </cell>
        </row>
        <row r="481">
          <cell r="B481" t="str">
            <v>EU.SD8002100 1</v>
          </cell>
          <cell r="D481">
            <v>374</v>
          </cell>
        </row>
        <row r="482">
          <cell r="B482" t="str">
            <v>EU.SD8003012 12</v>
          </cell>
          <cell r="D482">
            <v>4285</v>
          </cell>
        </row>
        <row r="483">
          <cell r="B483" t="str">
            <v>EU.SD8003034 34</v>
          </cell>
          <cell r="D483">
            <v>1746</v>
          </cell>
        </row>
        <row r="484">
          <cell r="B484" t="str">
            <v>EU.SD8003100 1</v>
          </cell>
          <cell r="D484">
            <v>1121</v>
          </cell>
        </row>
        <row r="485">
          <cell r="B485" t="str">
            <v>EU.SD8004012 12</v>
          </cell>
          <cell r="D485">
            <v>4335</v>
          </cell>
        </row>
        <row r="486">
          <cell r="B486" t="str">
            <v>EU.SD8004034 34</v>
          </cell>
          <cell r="D486">
            <v>1233</v>
          </cell>
        </row>
        <row r="487">
          <cell r="B487" t="str">
            <v>EU.SD8004100 1</v>
          </cell>
          <cell r="D487">
            <v>547</v>
          </cell>
        </row>
        <row r="488">
          <cell r="B488" t="str">
            <v>EU.ST1016032 12</v>
          </cell>
          <cell r="D488">
            <v>5529</v>
          </cell>
        </row>
        <row r="489">
          <cell r="B489" t="str">
            <v>EU.ST1016042 34</v>
          </cell>
          <cell r="D489">
            <v>883</v>
          </cell>
        </row>
        <row r="490">
          <cell r="B490" t="str">
            <v>EU.ST1016052 1</v>
          </cell>
          <cell r="D490">
            <v>643</v>
          </cell>
        </row>
        <row r="491">
          <cell r="B491" t="str">
            <v>EU.ST1034035 12</v>
          </cell>
          <cell r="D491">
            <v>1835</v>
          </cell>
        </row>
        <row r="492">
          <cell r="B492" t="str">
            <v>EU.ST1058035 12</v>
          </cell>
          <cell r="D492">
            <v>9009</v>
          </cell>
        </row>
        <row r="493">
          <cell r="B493" t="str">
            <v>EU.ST1085035 12</v>
          </cell>
          <cell r="D493">
            <v>11082</v>
          </cell>
        </row>
        <row r="494">
          <cell r="B494" t="str">
            <v>EU.ST1085045 34</v>
          </cell>
          <cell r="D494">
            <v>922</v>
          </cell>
        </row>
        <row r="495">
          <cell r="B495" t="str">
            <v>EU.ST1086035 12</v>
          </cell>
          <cell r="D495">
            <v>4182</v>
          </cell>
        </row>
        <row r="496">
          <cell r="B496" t="str">
            <v>EU.ST1089030 12</v>
          </cell>
          <cell r="D496">
            <v>7305</v>
          </cell>
        </row>
        <row r="498">
          <cell r="B498" t="str">
            <v>EU.ST1282030 12</v>
          </cell>
          <cell r="D498">
            <v>12981</v>
          </cell>
        </row>
        <row r="499">
          <cell r="B499" t="str">
            <v>EU.ST1282040 34</v>
          </cell>
          <cell r="D499">
            <v>6600</v>
          </cell>
        </row>
        <row r="500">
          <cell r="B500" t="str">
            <v>EU.ST1282050 1</v>
          </cell>
          <cell r="D500">
            <v>5188</v>
          </cell>
        </row>
        <row r="501">
          <cell r="B501" t="str">
            <v>EU.ST1282060 114</v>
          </cell>
          <cell r="D501">
            <v>3597</v>
          </cell>
        </row>
        <row r="502">
          <cell r="B502" t="str">
            <v>EU.ST1282070 112</v>
          </cell>
          <cell r="D502">
            <v>1598</v>
          </cell>
        </row>
        <row r="503">
          <cell r="B503" t="str">
            <v>EU.ST1282080 2</v>
          </cell>
          <cell r="D503">
            <v>2203</v>
          </cell>
        </row>
        <row r="504">
          <cell r="D504">
            <v>32167</v>
          </cell>
        </row>
        <row r="505">
          <cell r="B505" t="str">
            <v>EU.ST1283030 12</v>
          </cell>
          <cell r="D505">
            <v>7451</v>
          </cell>
        </row>
        <row r="506">
          <cell r="B506" t="str">
            <v>EU.ST1283040 34</v>
          </cell>
          <cell r="D506">
            <v>3149</v>
          </cell>
        </row>
        <row r="507">
          <cell r="B507" t="str">
            <v>EU.ST1283050 1</v>
          </cell>
          <cell r="D507">
            <v>2653</v>
          </cell>
        </row>
        <row r="508">
          <cell r="B508" t="str">
            <v>EU.ST1283060 114</v>
          </cell>
          <cell r="D508">
            <v>2385</v>
          </cell>
        </row>
        <row r="509">
          <cell r="B509" t="str">
            <v>EU.ST1283070 112</v>
          </cell>
          <cell r="D509">
            <v>1215</v>
          </cell>
        </row>
        <row r="510">
          <cell r="B510" t="str">
            <v>EU.ST1283080 2</v>
          </cell>
          <cell r="D510">
            <v>710</v>
          </cell>
        </row>
        <row r="511">
          <cell r="B511" t="str">
            <v>EU.ST1284030 12</v>
          </cell>
          <cell r="D511">
            <v>32163</v>
          </cell>
        </row>
        <row r="512">
          <cell r="B512" t="str">
            <v>EU.ST1284040 34</v>
          </cell>
          <cell r="D512">
            <v>17263</v>
          </cell>
        </row>
        <row r="513">
          <cell r="B513" t="str">
            <v>EU.ST1284050 1</v>
          </cell>
          <cell r="D513">
            <v>5749</v>
          </cell>
        </row>
        <row r="514">
          <cell r="B514" t="str">
            <v>EU.ST1285030 12</v>
          </cell>
          <cell r="D514">
            <v>59360</v>
          </cell>
        </row>
        <row r="515">
          <cell r="B515" t="str">
            <v>EU.ST1285040 34</v>
          </cell>
          <cell r="D515">
            <v>9958</v>
          </cell>
        </row>
        <row r="516">
          <cell r="B516" t="str">
            <v>EU.ST1285050 1</v>
          </cell>
          <cell r="D516">
            <v>4525</v>
          </cell>
        </row>
        <row r="517">
          <cell r="B517" t="str">
            <v>EU.ST1286030 12</v>
          </cell>
          <cell r="D517">
            <v>8115</v>
          </cell>
        </row>
        <row r="518">
          <cell r="B518" t="str">
            <v>EU.ST1286040 34</v>
          </cell>
          <cell r="D518">
            <v>1131</v>
          </cell>
        </row>
        <row r="519">
          <cell r="B519" t="str">
            <v>EU.ST1286050 1</v>
          </cell>
          <cell r="D519">
            <v>519</v>
          </cell>
        </row>
        <row r="520">
          <cell r="B520" t="str">
            <v>EU.ST1287030 12</v>
          </cell>
          <cell r="D520">
            <v>19731</v>
          </cell>
        </row>
        <row r="521">
          <cell r="B521" t="str">
            <v>EU.ST1287040 34</v>
          </cell>
          <cell r="D521">
            <v>31573</v>
          </cell>
        </row>
        <row r="522">
          <cell r="B522" t="str">
            <v>EU.ST1287050 1</v>
          </cell>
          <cell r="D522">
            <v>6383</v>
          </cell>
        </row>
        <row r="523">
          <cell r="B523" t="str">
            <v>EU.ST1288030 12</v>
          </cell>
          <cell r="D523">
            <v>9997</v>
          </cell>
        </row>
        <row r="524">
          <cell r="B524" t="str">
            <v>EU.ST1288040 34</v>
          </cell>
          <cell r="D524">
            <v>2403</v>
          </cell>
        </row>
        <row r="525">
          <cell r="B525" t="str">
            <v>EU.ST1288050 1</v>
          </cell>
          <cell r="D525">
            <v>1222</v>
          </cell>
        </row>
        <row r="526">
          <cell r="B526" t="str">
            <v>EU.ST2075030 12</v>
          </cell>
          <cell r="D526">
            <v>10002</v>
          </cell>
        </row>
        <row r="527">
          <cell r="B527" t="str">
            <v>EU.ST2075040 34</v>
          </cell>
          <cell r="D527">
            <v>1928</v>
          </cell>
        </row>
        <row r="528">
          <cell r="B528" t="str">
            <v>EU.ST5014235 12x34x12</v>
          </cell>
          <cell r="D528">
            <v>6375</v>
          </cell>
        </row>
        <row r="529">
          <cell r="B529" t="str">
            <v>EU.ST5055030 12x12</v>
          </cell>
          <cell r="D529">
            <v>11238</v>
          </cell>
        </row>
        <row r="530">
          <cell r="B530" t="str">
            <v>EU.ST5055040 12x34</v>
          </cell>
          <cell r="D530">
            <v>5977</v>
          </cell>
        </row>
        <row r="532">
          <cell r="B532" t="str">
            <v>Общий итог</v>
          </cell>
          <cell r="C532">
            <v>0</v>
          </cell>
          <cell r="D532">
            <v>2266004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7030A0"/>
    <pageSetUpPr fitToPage="1"/>
  </sheetPr>
  <dimension ref="A1:GX1014"/>
  <sheetViews>
    <sheetView tabSelected="1" view="pageBreakPreview" topLeftCell="A162" zoomScaleNormal="100" zoomScaleSheetLayoutView="100" workbookViewId="0">
      <selection activeCell="B181" sqref="B181"/>
    </sheetView>
  </sheetViews>
  <sheetFormatPr defaultColWidth="9.140625" defaultRowHeight="15"/>
  <cols>
    <col min="1" max="1" width="1.7109375" style="1920" customWidth="1"/>
    <col min="2" max="2" width="16.42578125" style="1922" customWidth="1"/>
    <col min="3" max="3" width="22.42578125" style="1920" customWidth="1"/>
    <col min="4" max="4" width="18.5703125" style="1923" customWidth="1"/>
    <col min="5" max="6" width="14.42578125" style="1920" customWidth="1"/>
    <col min="7" max="7" width="14.42578125" style="1340" customWidth="1"/>
    <col min="8" max="8" width="14.42578125" style="1921" customWidth="1"/>
    <col min="9" max="9" width="14.42578125" style="1911" customWidth="1"/>
    <col min="10" max="10" width="14.42578125" style="1904" customWidth="1"/>
    <col min="11" max="11" width="9.5703125" style="1920" bestFit="1" customWidth="1"/>
    <col min="12" max="15" width="9.140625" style="1920"/>
    <col min="16" max="16" width="11.140625" style="1920" bestFit="1" customWidth="1"/>
    <col min="17" max="16384" width="9.140625" style="1920"/>
  </cols>
  <sheetData>
    <row r="1" spans="1:10" ht="18.75">
      <c r="A1" s="1092"/>
      <c r="B1" s="1925"/>
      <c r="C1" s="1925"/>
      <c r="D1" s="1925"/>
      <c r="E1" s="1926"/>
      <c r="F1" s="1926"/>
      <c r="G1" s="1927"/>
      <c r="H1" s="1928"/>
      <c r="I1" s="1929"/>
      <c r="J1" s="1930"/>
    </row>
    <row r="2" spans="1:10" ht="18.75">
      <c r="A2" s="1092"/>
      <c r="B2" s="1925"/>
      <c r="C2" s="1931"/>
      <c r="D2" s="1931"/>
      <c r="E2" s="1931"/>
      <c r="F2" s="1932"/>
      <c r="G2" s="1933"/>
      <c r="H2" s="1934"/>
      <c r="I2" s="1929"/>
      <c r="J2" s="1929"/>
    </row>
    <row r="3" spans="1:10" ht="18.75">
      <c r="A3" s="1092"/>
      <c r="B3" s="1935"/>
      <c r="C3" s="1935"/>
      <c r="D3" s="1935"/>
      <c r="E3" s="1935"/>
      <c r="F3" s="1935"/>
      <c r="G3" s="1936"/>
      <c r="H3" s="1934"/>
      <c r="I3" s="1929"/>
      <c r="J3" s="1929"/>
    </row>
    <row r="4" spans="1:10" ht="18.75">
      <c r="A4" s="1092"/>
      <c r="B4" s="1937"/>
      <c r="C4" s="1935"/>
      <c r="D4" s="1935"/>
      <c r="E4" s="1935"/>
      <c r="F4" s="1935"/>
      <c r="G4" s="1936"/>
      <c r="H4" s="1934"/>
      <c r="I4" s="1929"/>
      <c r="J4" s="1929"/>
    </row>
    <row r="5" spans="1:10" ht="18.75">
      <c r="A5" s="1092"/>
      <c r="B5" s="1938"/>
      <c r="C5" s="1938"/>
      <c r="D5" s="1938"/>
      <c r="E5" s="1939"/>
      <c r="F5" s="1940"/>
      <c r="G5" s="1941"/>
      <c r="H5" s="1934"/>
      <c r="I5" s="1929"/>
      <c r="J5" s="1929"/>
    </row>
    <row r="6" spans="1:10" ht="18.75">
      <c r="A6" s="1092"/>
      <c r="B6" s="1942"/>
      <c r="C6" s="1927"/>
      <c r="D6" s="1927"/>
      <c r="E6" s="1927"/>
      <c r="F6" s="1927"/>
      <c r="G6" s="1927"/>
      <c r="H6" s="1928"/>
      <c r="I6" s="1929"/>
      <c r="J6" s="1929"/>
    </row>
    <row r="7" spans="1:10" ht="18.75">
      <c r="A7" s="1092"/>
      <c r="B7" s="1942"/>
      <c r="C7" s="1927"/>
      <c r="D7" s="1927"/>
      <c r="E7" s="1927"/>
      <c r="F7" s="1927"/>
      <c r="G7" s="1927"/>
      <c r="H7" s="1928"/>
      <c r="I7" s="1929"/>
      <c r="J7" s="1929"/>
    </row>
    <row r="8" spans="1:10">
      <c r="A8" s="1092"/>
      <c r="B8" s="1943"/>
      <c r="C8" s="1092"/>
      <c r="D8" s="1944"/>
      <c r="E8" s="1092"/>
      <c r="F8" s="1092"/>
      <c r="G8" s="1945"/>
      <c r="H8" s="1946"/>
      <c r="I8" s="1947"/>
      <c r="J8" s="1948"/>
    </row>
    <row r="9" spans="1:10" ht="39">
      <c r="A9" s="1092"/>
      <c r="B9" s="2198" t="s">
        <v>1831</v>
      </c>
      <c r="C9" s="2198"/>
      <c r="D9" s="2198"/>
      <c r="E9" s="2198"/>
      <c r="F9" s="2198"/>
      <c r="G9" s="2198"/>
      <c r="H9" s="2198"/>
      <c r="I9" s="2198"/>
      <c r="J9" s="2198"/>
    </row>
    <row r="10" spans="1:10" ht="18.75">
      <c r="A10" s="1092"/>
      <c r="B10" s="2204" t="s">
        <v>2003</v>
      </c>
      <c r="C10" s="2204"/>
      <c r="D10" s="2204"/>
      <c r="E10" s="2204"/>
      <c r="F10" s="2204"/>
      <c r="G10" s="2204"/>
      <c r="H10" s="2204"/>
      <c r="I10" s="2204"/>
      <c r="J10" s="2204"/>
    </row>
    <row r="11" spans="1:10" ht="18.75">
      <c r="A11" s="1092"/>
      <c r="B11" s="1949"/>
      <c r="C11" s="1950"/>
      <c r="D11" s="1951"/>
      <c r="E11" s="1951"/>
      <c r="F11" s="1951"/>
      <c r="G11" s="1951"/>
      <c r="H11" s="1952"/>
      <c r="I11" s="1929"/>
      <c r="J11" s="1929"/>
    </row>
    <row r="12" spans="1:10" ht="18.75">
      <c r="A12" s="1092"/>
      <c r="B12" s="2199" t="s">
        <v>1739</v>
      </c>
      <c r="C12" s="2199"/>
      <c r="D12" s="2199"/>
      <c r="E12" s="2199"/>
      <c r="F12" s="2199"/>
      <c r="G12" s="2199"/>
      <c r="H12" s="2199"/>
      <c r="I12" s="2199"/>
      <c r="J12" s="2199"/>
    </row>
    <row r="13" spans="1:10" ht="18.75" customHeight="1">
      <c r="A13" s="1092"/>
      <c r="B13" s="2210" t="s">
        <v>2004</v>
      </c>
      <c r="C13" s="2210"/>
      <c r="D13" s="2210"/>
      <c r="E13" s="2210"/>
      <c r="F13" s="2210"/>
      <c r="G13" s="2210"/>
      <c r="H13" s="2210"/>
      <c r="I13" s="2210"/>
      <c r="J13" s="2210"/>
    </row>
    <row r="14" spans="1:10" ht="18.75" customHeight="1">
      <c r="A14" s="1092"/>
      <c r="B14" s="2210"/>
      <c r="C14" s="2210"/>
      <c r="D14" s="2210"/>
      <c r="E14" s="2210"/>
      <c r="F14" s="2210"/>
      <c r="G14" s="2210"/>
      <c r="H14" s="2210"/>
      <c r="I14" s="2210"/>
      <c r="J14" s="2210"/>
    </row>
    <row r="15" spans="1:10" ht="18.75">
      <c r="A15" s="1092"/>
      <c r="B15" s="2200" t="s">
        <v>2002</v>
      </c>
      <c r="C15" s="2200"/>
      <c r="D15" s="2200"/>
      <c r="E15" s="2200"/>
      <c r="F15" s="2200"/>
      <c r="G15" s="2200"/>
      <c r="H15" s="2200"/>
      <c r="I15" s="2200"/>
      <c r="J15" s="2200"/>
    </row>
    <row r="16" spans="1:10" ht="18.75">
      <c r="A16" s="1092"/>
      <c r="B16" s="1949"/>
      <c r="C16" s="1927"/>
      <c r="D16" s="1927"/>
      <c r="E16" s="1927"/>
      <c r="F16" s="1927"/>
      <c r="G16" s="1927"/>
      <c r="H16" s="1928"/>
      <c r="I16" s="1929"/>
      <c r="J16" s="1929"/>
    </row>
    <row r="17" spans="1:10" ht="28.5">
      <c r="A17" s="1092"/>
      <c r="B17" s="1949"/>
      <c r="C17" s="1927"/>
      <c r="D17" s="2203" t="s">
        <v>1964</v>
      </c>
      <c r="E17" s="2203"/>
      <c r="F17" s="2203"/>
      <c r="G17" s="2139">
        <v>0.27</v>
      </c>
      <c r="H17" s="1927"/>
      <c r="I17" s="1927"/>
      <c r="J17" s="1929"/>
    </row>
    <row r="18" spans="1:10" ht="18.75">
      <c r="A18" s="1092"/>
      <c r="B18" s="1949"/>
      <c r="C18" s="1953"/>
      <c r="D18" s="1953"/>
      <c r="E18" s="1953"/>
      <c r="F18" s="1927"/>
      <c r="G18" s="1092"/>
      <c r="H18" s="1928"/>
      <c r="I18" s="1929"/>
      <c r="J18" s="1929"/>
    </row>
    <row r="19" spans="1:10" ht="18.75">
      <c r="A19" s="1092"/>
      <c r="B19" s="1954"/>
      <c r="C19" s="2093" t="s">
        <v>1646</v>
      </c>
      <c r="D19" s="2094"/>
      <c r="E19" s="2095"/>
      <c r="F19" s="2096"/>
      <c r="G19" s="2097"/>
      <c r="H19" s="2097"/>
      <c r="I19" s="2098"/>
      <c r="J19" s="2098"/>
    </row>
    <row r="20" spans="1:10" s="1924" customFormat="1" ht="17.25">
      <c r="A20" s="1955"/>
      <c r="B20" s="1956"/>
      <c r="C20" s="1957" t="s">
        <v>1836</v>
      </c>
      <c r="D20" s="1957"/>
      <c r="E20" s="1958" t="s">
        <v>1735</v>
      </c>
      <c r="F20" s="1955"/>
      <c r="G20" s="1959"/>
      <c r="H20" s="1959"/>
      <c r="I20" s="1960"/>
      <c r="J20" s="1961"/>
    </row>
    <row r="21" spans="1:10" s="1924" customFormat="1" ht="17.25">
      <c r="A21" s="1955"/>
      <c r="B21" s="1956"/>
      <c r="C21" s="1957" t="s">
        <v>1736</v>
      </c>
      <c r="D21" s="1957"/>
      <c r="E21" s="1958" t="s">
        <v>1735</v>
      </c>
      <c r="F21" s="1955"/>
      <c r="G21" s="1959"/>
      <c r="H21" s="1959"/>
      <c r="I21" s="1960"/>
      <c r="J21" s="1961"/>
    </row>
    <row r="22" spans="1:10" s="1924" customFormat="1" ht="17.25">
      <c r="A22" s="1955"/>
      <c r="B22" s="1956"/>
      <c r="C22" s="1957" t="s">
        <v>1737</v>
      </c>
      <c r="D22" s="1957"/>
      <c r="E22" s="1958" t="s">
        <v>1735</v>
      </c>
      <c r="F22" s="1955"/>
      <c r="G22" s="1959"/>
      <c r="H22" s="1959"/>
      <c r="I22" s="1960"/>
      <c r="J22" s="1961"/>
    </row>
    <row r="23" spans="1:10" s="1924" customFormat="1" ht="17.25">
      <c r="A23" s="1955"/>
      <c r="B23" s="1956"/>
      <c r="C23" s="1957" t="s">
        <v>1829</v>
      </c>
      <c r="D23" s="1957"/>
      <c r="E23" s="1958" t="s">
        <v>1735</v>
      </c>
      <c r="F23" s="1955"/>
      <c r="G23" s="1959"/>
      <c r="H23" s="1959"/>
      <c r="I23" s="1960"/>
      <c r="J23" s="1961"/>
    </row>
    <row r="24" spans="1:10" s="1924" customFormat="1" ht="17.25">
      <c r="A24" s="1955"/>
      <c r="B24" s="1962"/>
      <c r="C24" s="1957" t="s">
        <v>1738</v>
      </c>
      <c r="D24" s="1957"/>
      <c r="E24" s="1958" t="s">
        <v>1735</v>
      </c>
      <c r="F24" s="1955"/>
      <c r="G24" s="1959"/>
      <c r="H24" s="1959"/>
      <c r="I24" s="1960"/>
      <c r="J24" s="1961"/>
    </row>
    <row r="25" spans="1:10" s="1924" customFormat="1" ht="17.25">
      <c r="A25" s="1955"/>
      <c r="B25" s="1956"/>
      <c r="C25" s="1957" t="s">
        <v>1809</v>
      </c>
      <c r="D25" s="1957"/>
      <c r="E25" s="1958" t="s">
        <v>1735</v>
      </c>
      <c r="F25" s="1955"/>
      <c r="G25" s="1959"/>
      <c r="H25" s="1959"/>
      <c r="I25" s="1960"/>
      <c r="J25" s="1961"/>
    </row>
    <row r="26" spans="1:10" s="1924" customFormat="1" ht="17.25">
      <c r="A26" s="1955"/>
      <c r="B26" s="1956"/>
      <c r="C26" s="1957" t="s">
        <v>1810</v>
      </c>
      <c r="D26" s="1957"/>
      <c r="E26" s="1958" t="s">
        <v>1735</v>
      </c>
      <c r="F26" s="1955"/>
      <c r="G26" s="1959"/>
      <c r="H26" s="1959"/>
      <c r="I26" s="1960"/>
      <c r="J26" s="1961"/>
    </row>
    <row r="27" spans="1:10" s="1924" customFormat="1" ht="17.25">
      <c r="A27" s="1955"/>
      <c r="B27" s="1956"/>
      <c r="C27" s="1957" t="s">
        <v>1811</v>
      </c>
      <c r="D27" s="1957"/>
      <c r="E27" s="1958" t="s">
        <v>1735</v>
      </c>
      <c r="F27" s="1955"/>
      <c r="G27" s="1959"/>
      <c r="H27" s="1959"/>
      <c r="I27" s="1960"/>
      <c r="J27" s="1961"/>
    </row>
    <row r="28" spans="1:10" s="1924" customFormat="1" ht="17.25">
      <c r="A28" s="1955"/>
      <c r="B28" s="1956"/>
      <c r="C28" s="1957" t="s">
        <v>1812</v>
      </c>
      <c r="D28" s="1957"/>
      <c r="E28" s="1958" t="s">
        <v>1735</v>
      </c>
      <c r="F28" s="1955"/>
      <c r="G28" s="1959"/>
      <c r="H28" s="1959"/>
      <c r="I28" s="1960"/>
      <c r="J28" s="1961"/>
    </row>
    <row r="29" spans="1:10" s="1924" customFormat="1" ht="17.25">
      <c r="A29" s="1955"/>
      <c r="B29" s="1956"/>
      <c r="C29" s="1957" t="s">
        <v>1826</v>
      </c>
      <c r="D29" s="1957"/>
      <c r="E29" s="1958" t="s">
        <v>1735</v>
      </c>
      <c r="F29" s="1955"/>
      <c r="G29" s="1959"/>
      <c r="H29" s="1959"/>
      <c r="I29" s="1960"/>
      <c r="J29" s="1961"/>
    </row>
    <row r="30" spans="1:10" s="1924" customFormat="1" ht="17.25">
      <c r="A30" s="1955"/>
      <c r="B30" s="1956"/>
      <c r="C30" s="1957" t="s">
        <v>1813</v>
      </c>
      <c r="D30" s="1957"/>
      <c r="E30" s="1958" t="s">
        <v>1735</v>
      </c>
      <c r="F30" s="1955"/>
      <c r="G30" s="1959"/>
      <c r="H30" s="1959"/>
      <c r="I30" s="1960"/>
      <c r="J30" s="1961"/>
    </row>
    <row r="31" spans="1:10" s="1340" customFormat="1" ht="12">
      <c r="A31" s="1945"/>
      <c r="B31" s="1963"/>
      <c r="C31" s="1945"/>
      <c r="D31" s="1945"/>
      <c r="E31" s="1964"/>
      <c r="F31" s="1945"/>
      <c r="G31" s="1965"/>
      <c r="H31" s="1965"/>
      <c r="I31" s="1966"/>
      <c r="J31" s="1967"/>
    </row>
    <row r="32" spans="1:10" ht="18.75">
      <c r="A32" s="1092"/>
      <c r="B32" s="1968"/>
      <c r="C32" s="2093" t="s">
        <v>1648</v>
      </c>
      <c r="D32" s="2094"/>
      <c r="E32" s="2181" t="s">
        <v>1735</v>
      </c>
      <c r="F32" s="2096"/>
      <c r="G32" s="2097"/>
      <c r="H32" s="2097"/>
      <c r="I32" s="2098"/>
      <c r="J32" s="2099"/>
    </row>
    <row r="33" spans="1:10" s="1340" customFormat="1" ht="12">
      <c r="A33" s="1945"/>
      <c r="B33" s="1963"/>
      <c r="C33" s="1945"/>
      <c r="D33" s="1945"/>
      <c r="E33" s="1964"/>
      <c r="F33" s="1945"/>
      <c r="G33" s="1965"/>
      <c r="H33" s="1965"/>
      <c r="I33" s="1966"/>
      <c r="J33" s="1967"/>
    </row>
    <row r="34" spans="1:10" ht="18.75">
      <c r="A34" s="1092"/>
      <c r="B34" s="1968"/>
      <c r="C34" s="2093" t="s">
        <v>1814</v>
      </c>
      <c r="D34" s="2095"/>
      <c r="E34" s="2181" t="s">
        <v>1735</v>
      </c>
      <c r="F34" s="2097"/>
      <c r="G34" s="2097"/>
      <c r="H34" s="2097"/>
      <c r="I34" s="2098"/>
      <c r="J34" s="2099"/>
    </row>
    <row r="35" spans="1:10" s="1340" customFormat="1" ht="12">
      <c r="A35" s="1945"/>
      <c r="B35" s="1963"/>
      <c r="C35" s="1945"/>
      <c r="D35" s="1945"/>
      <c r="E35" s="1964"/>
      <c r="F35" s="1945"/>
      <c r="G35" s="1965"/>
      <c r="H35" s="1965"/>
      <c r="I35" s="1966"/>
      <c r="J35" s="1967"/>
    </row>
    <row r="36" spans="1:10" s="2102" customFormat="1" ht="18.75">
      <c r="A36" s="1969"/>
      <c r="B36" s="1968"/>
      <c r="C36" s="2093" t="s">
        <v>1647</v>
      </c>
      <c r="D36" s="2094"/>
      <c r="E36" s="2095"/>
      <c r="F36" s="2100"/>
      <c r="G36" s="2100"/>
      <c r="H36" s="2100"/>
      <c r="I36" s="2098"/>
      <c r="J36" s="2099"/>
    </row>
    <row r="37" spans="1:10" s="2102" customFormat="1" ht="18.75">
      <c r="A37" s="1969"/>
      <c r="B37" s="1968"/>
      <c r="C37" s="1957" t="s">
        <v>1794</v>
      </c>
      <c r="D37" s="1970"/>
      <c r="E37" s="1958" t="s">
        <v>1735</v>
      </c>
      <c r="F37" s="1970"/>
      <c r="G37" s="1970"/>
      <c r="H37" s="1970"/>
      <c r="I37" s="1970"/>
      <c r="J37" s="1930"/>
    </row>
    <row r="38" spans="1:10" s="2102" customFormat="1" ht="18.75">
      <c r="A38" s="1969"/>
      <c r="B38" s="1968"/>
      <c r="C38" s="1957" t="s">
        <v>1793</v>
      </c>
      <c r="D38" s="1970"/>
      <c r="E38" s="1958" t="s">
        <v>1735</v>
      </c>
      <c r="F38" s="1970"/>
      <c r="G38" s="1970"/>
      <c r="H38" s="1970"/>
      <c r="I38" s="1970"/>
      <c r="J38" s="1930"/>
    </row>
    <row r="39" spans="1:10" s="2102" customFormat="1" ht="18.75">
      <c r="A39" s="1969"/>
      <c r="B39" s="1968"/>
      <c r="C39" s="1957" t="s">
        <v>1795</v>
      </c>
      <c r="D39" s="1970"/>
      <c r="E39" s="1958" t="s">
        <v>1735</v>
      </c>
      <c r="F39" s="1970"/>
      <c r="G39" s="1970"/>
      <c r="H39" s="1970"/>
      <c r="I39" s="1970"/>
      <c r="J39" s="1930"/>
    </row>
    <row r="40" spans="1:10" ht="18.75">
      <c r="A40" s="1092"/>
      <c r="B40" s="1968"/>
      <c r="C40" s="1957" t="s">
        <v>1796</v>
      </c>
      <c r="D40" s="1970"/>
      <c r="E40" s="1958" t="s">
        <v>1735</v>
      </c>
      <c r="F40" s="1970"/>
      <c r="G40" s="1970"/>
      <c r="H40" s="1970"/>
      <c r="I40" s="1970"/>
      <c r="J40" s="1930"/>
    </row>
    <row r="41" spans="1:10" s="1340" customFormat="1" ht="12">
      <c r="A41" s="1945"/>
      <c r="B41" s="1963"/>
      <c r="C41" s="1945"/>
      <c r="D41" s="1971"/>
      <c r="E41" s="1964"/>
      <c r="F41" s="1971"/>
      <c r="G41" s="1971"/>
      <c r="H41" s="1971"/>
      <c r="I41" s="1971"/>
      <c r="J41" s="1967"/>
    </row>
    <row r="42" spans="1:10" ht="18.75">
      <c r="A42" s="1092"/>
      <c r="B42" s="1968"/>
      <c r="C42" s="2093" t="s">
        <v>1815</v>
      </c>
      <c r="D42" s="2096"/>
      <c r="E42" s="2101"/>
      <c r="F42" s="2096"/>
      <c r="G42" s="2096"/>
      <c r="H42" s="2096"/>
      <c r="I42" s="2096"/>
      <c r="J42" s="2099"/>
    </row>
    <row r="43" spans="1:10" ht="18.75">
      <c r="A43" s="1092"/>
      <c r="B43" s="1968"/>
      <c r="C43" s="1957" t="s">
        <v>1816</v>
      </c>
      <c r="D43" s="1970"/>
      <c r="E43" s="1958" t="s">
        <v>1735</v>
      </c>
      <c r="F43" s="1970"/>
      <c r="G43" s="1970"/>
      <c r="H43" s="1970"/>
      <c r="I43" s="1970"/>
      <c r="J43" s="1930"/>
    </row>
    <row r="44" spans="1:10" ht="18.75">
      <c r="A44" s="1092"/>
      <c r="B44" s="1968"/>
      <c r="C44" s="1957" t="s">
        <v>1817</v>
      </c>
      <c r="D44" s="1970"/>
      <c r="E44" s="1958" t="s">
        <v>1735</v>
      </c>
      <c r="F44" s="1970"/>
      <c r="G44" s="1970"/>
      <c r="H44" s="1970"/>
      <c r="I44" s="1970"/>
      <c r="J44" s="1930"/>
    </row>
    <row r="45" spans="1:10" s="1340" customFormat="1" ht="12">
      <c r="A45" s="1945"/>
      <c r="B45" s="1963"/>
      <c r="C45" s="1945"/>
      <c r="D45" s="1971"/>
      <c r="E45" s="1964"/>
      <c r="F45" s="1971"/>
      <c r="G45" s="1971"/>
      <c r="H45" s="1971"/>
      <c r="I45" s="1971"/>
      <c r="J45" s="1967"/>
    </row>
    <row r="46" spans="1:10" ht="18.75">
      <c r="A46" s="1092"/>
      <c r="B46" s="1968"/>
      <c r="C46" s="2137" t="s">
        <v>1993</v>
      </c>
      <c r="D46" s="2092"/>
      <c r="E46" s="2182" t="s">
        <v>1735</v>
      </c>
      <c r="F46" s="2092"/>
      <c r="G46" s="2092" t="s">
        <v>1825</v>
      </c>
      <c r="H46" s="2092"/>
      <c r="I46" s="2092"/>
      <c r="J46" s="2138"/>
    </row>
    <row r="47" spans="1:10" s="1340" customFormat="1" ht="12">
      <c r="A47" s="1945"/>
      <c r="B47" s="1963"/>
      <c r="C47" s="1945"/>
      <c r="D47" s="1971"/>
      <c r="E47" s="1964"/>
      <c r="F47" s="1971"/>
      <c r="G47" s="2091"/>
      <c r="H47" s="1971"/>
      <c r="I47" s="1971"/>
      <c r="J47" s="1967"/>
    </row>
    <row r="48" spans="1:10" ht="18.75">
      <c r="A48" s="1092"/>
      <c r="B48" s="1968"/>
      <c r="C48" s="2137" t="s">
        <v>1994</v>
      </c>
      <c r="D48" s="2092"/>
      <c r="E48" s="2182" t="s">
        <v>1735</v>
      </c>
      <c r="F48" s="2092"/>
      <c r="G48" s="2092" t="s">
        <v>1825</v>
      </c>
      <c r="H48" s="2092"/>
      <c r="I48" s="2092"/>
      <c r="J48" s="2138"/>
    </row>
    <row r="49" spans="1:10" ht="18.75">
      <c r="A49" s="1092"/>
      <c r="B49" s="1968"/>
      <c r="C49" s="1927"/>
      <c r="D49" s="1927"/>
      <c r="E49" s="1927"/>
      <c r="F49" s="1927"/>
      <c r="G49" s="1927"/>
      <c r="H49" s="1928"/>
      <c r="I49" s="1929"/>
      <c r="J49" s="1927"/>
    </row>
    <row r="50" spans="1:10" ht="18.75">
      <c r="A50" s="1092"/>
      <c r="B50" s="1968"/>
      <c r="C50" s="1972"/>
      <c r="D50" s="1972"/>
      <c r="E50" s="1972"/>
      <c r="F50" s="1972"/>
      <c r="G50" s="1972"/>
      <c r="H50" s="1972"/>
      <c r="I50" s="1972"/>
      <c r="J50" s="1930"/>
    </row>
    <row r="51" spans="1:10" ht="18.75">
      <c r="A51" s="1092"/>
      <c r="B51" s="1994" t="s">
        <v>2005</v>
      </c>
      <c r="C51" s="1973"/>
      <c r="D51" s="1973"/>
      <c r="E51" s="1973"/>
      <c r="F51" s="1092"/>
      <c r="G51" s="1945"/>
      <c r="H51" s="1946"/>
      <c r="I51" s="1947"/>
      <c r="J51" s="1995" t="s">
        <v>1780</v>
      </c>
    </row>
    <row r="52" spans="1:10" s="1340" customFormat="1" ht="12">
      <c r="A52" s="1945"/>
      <c r="B52" s="1974" t="s">
        <v>1</v>
      </c>
      <c r="C52" s="1975"/>
      <c r="D52" s="1945"/>
      <c r="E52" s="1945"/>
      <c r="F52" s="1976"/>
      <c r="G52" s="1964"/>
      <c r="H52" s="1977"/>
      <c r="I52" s="1966"/>
      <c r="J52" s="1967"/>
    </row>
    <row r="53" spans="1:10" s="1340" customFormat="1" ht="36" customHeight="1">
      <c r="A53" s="1945"/>
      <c r="B53" s="2192" t="s">
        <v>1977</v>
      </c>
      <c r="C53" s="2192"/>
      <c r="D53" s="2192"/>
      <c r="E53" s="2192"/>
      <c r="F53" s="2192"/>
      <c r="G53" s="2192"/>
      <c r="H53" s="2192"/>
      <c r="I53" s="2192"/>
      <c r="J53" s="2192"/>
    </row>
    <row r="54" spans="1:10" s="1340" customFormat="1" ht="12">
      <c r="A54" s="1945"/>
      <c r="B54" s="1974" t="s">
        <v>2</v>
      </c>
      <c r="C54" s="1975"/>
      <c r="D54" s="1945"/>
      <c r="E54" s="1945"/>
      <c r="F54" s="1976"/>
      <c r="G54" s="1945"/>
      <c r="H54" s="1965"/>
      <c r="I54" s="1966"/>
      <c r="J54" s="1967"/>
    </row>
    <row r="55" spans="1:10" s="1340" customFormat="1" ht="12">
      <c r="A55" s="1945"/>
      <c r="B55" s="2201" t="s">
        <v>778</v>
      </c>
      <c r="C55" s="2201"/>
      <c r="D55" s="2201"/>
      <c r="E55" s="2201"/>
      <c r="F55" s="2201"/>
      <c r="G55" s="2201"/>
      <c r="H55" s="2201"/>
      <c r="I55" s="1966"/>
      <c r="J55" s="1967"/>
    </row>
    <row r="56" spans="1:10" s="1340" customFormat="1" ht="12">
      <c r="A56" s="1945"/>
      <c r="B56" s="2201" t="s">
        <v>1740</v>
      </c>
      <c r="C56" s="2201"/>
      <c r="D56" s="2201"/>
      <c r="E56" s="2201"/>
      <c r="F56" s="2201"/>
      <c r="G56" s="2201"/>
      <c r="H56" s="2201"/>
      <c r="I56" s="1966"/>
      <c r="J56" s="1967"/>
    </row>
    <row r="57" spans="1:10" s="1340" customFormat="1" ht="12">
      <c r="A57" s="1945"/>
      <c r="B57" s="1974" t="s">
        <v>5</v>
      </c>
      <c r="C57" s="1975"/>
      <c r="D57" s="1945"/>
      <c r="E57" s="1945"/>
      <c r="F57" s="1976"/>
      <c r="G57" s="1945"/>
      <c r="H57" s="1965"/>
      <c r="I57" s="1966"/>
      <c r="J57" s="1967"/>
    </row>
    <row r="58" spans="1:10" s="1340" customFormat="1" ht="12">
      <c r="A58" s="1945"/>
      <c r="B58" s="1978" t="s">
        <v>1872</v>
      </c>
      <c r="C58" s="1975"/>
      <c r="D58" s="1975"/>
      <c r="E58" s="1975"/>
      <c r="F58" s="1976"/>
      <c r="G58" s="1945"/>
      <c r="H58" s="1965"/>
      <c r="I58" s="1966"/>
      <c r="J58" s="1967"/>
    </row>
    <row r="59" spans="1:10" s="1340" customFormat="1" ht="12">
      <c r="A59" s="1945"/>
      <c r="B59" s="2196" t="s">
        <v>779</v>
      </c>
      <c r="C59" s="2202"/>
      <c r="D59" s="2202"/>
      <c r="E59" s="2202"/>
      <c r="F59" s="1976"/>
      <c r="G59" s="1945"/>
      <c r="H59" s="1965"/>
      <c r="I59" s="1966"/>
      <c r="J59" s="1967"/>
    </row>
    <row r="60" spans="1:10" s="1340" customFormat="1" ht="12">
      <c r="A60" s="1945"/>
      <c r="B60" s="1978" t="s">
        <v>1832</v>
      </c>
      <c r="C60" s="1979"/>
      <c r="D60" s="1945"/>
      <c r="E60" s="1945"/>
      <c r="F60" s="1976"/>
      <c r="G60" s="1945"/>
      <c r="H60" s="1965"/>
      <c r="I60" s="1966"/>
      <c r="J60" s="1967"/>
    </row>
    <row r="61" spans="1:10" s="1340" customFormat="1" ht="12">
      <c r="A61" s="1945"/>
      <c r="B61" s="1980" t="s">
        <v>1833</v>
      </c>
      <c r="C61" s="1979"/>
      <c r="D61" s="1945"/>
      <c r="E61" s="1945"/>
      <c r="F61" s="1976"/>
      <c r="G61" s="1945"/>
      <c r="H61" s="1965"/>
      <c r="I61" s="1966"/>
      <c r="J61" s="1967"/>
    </row>
    <row r="62" spans="1:10" ht="15.75" customHeight="1">
      <c r="A62" s="1092"/>
      <c r="B62" s="1980"/>
      <c r="C62" s="1979"/>
      <c r="D62" s="1945"/>
      <c r="E62" s="1945"/>
      <c r="F62" s="1976"/>
      <c r="G62" s="1945"/>
      <c r="H62" s="1965"/>
      <c r="I62" s="1947"/>
      <c r="J62" s="1948"/>
    </row>
    <row r="63" spans="1:10">
      <c r="A63" s="1092"/>
      <c r="B63" s="1981" t="s">
        <v>1900</v>
      </c>
      <c r="C63" s="1982"/>
      <c r="D63" s="1982" t="s">
        <v>1972</v>
      </c>
      <c r="E63" s="1983"/>
      <c r="F63" s="1983"/>
      <c r="G63" s="1945"/>
      <c r="H63" s="1984"/>
      <c r="I63" s="1947"/>
      <c r="J63" s="1948"/>
    </row>
    <row r="64" spans="1:10" ht="15.75" thickBot="1">
      <c r="A64" s="1092"/>
      <c r="B64" s="1985"/>
      <c r="C64" s="1983"/>
      <c r="D64" s="1945" t="s">
        <v>31</v>
      </c>
      <c r="E64" s="1983"/>
      <c r="F64" s="1983"/>
      <c r="G64" s="1945"/>
      <c r="H64" s="1984"/>
      <c r="I64" s="1947"/>
      <c r="J64" s="1948"/>
    </row>
    <row r="65" spans="1:11" ht="15.75" thickBot="1">
      <c r="A65" s="1092"/>
      <c r="B65" s="1985"/>
      <c r="C65" s="2005" t="s">
        <v>10</v>
      </c>
      <c r="D65" s="2006" t="s">
        <v>11</v>
      </c>
      <c r="E65" s="2006" t="s">
        <v>12</v>
      </c>
      <c r="F65" s="2006" t="s">
        <v>13</v>
      </c>
      <c r="G65" s="2006" t="s">
        <v>14</v>
      </c>
      <c r="H65" s="2140" t="s">
        <v>1835</v>
      </c>
      <c r="I65" s="2008">
        <f>$G$17</f>
        <v>0.27</v>
      </c>
      <c r="J65" s="2007" t="s">
        <v>1834</v>
      </c>
    </row>
    <row r="66" spans="1:11">
      <c r="A66" s="1092"/>
      <c r="B66" s="1985"/>
      <c r="C66" s="2002" t="s">
        <v>1894</v>
      </c>
      <c r="D66" s="2003" t="s">
        <v>190</v>
      </c>
      <c r="E66" s="2004">
        <v>155</v>
      </c>
      <c r="F66" s="2003">
        <v>35</v>
      </c>
      <c r="G66" s="2004">
        <v>140</v>
      </c>
      <c r="H66" s="2154">
        <v>269.09090909090907</v>
      </c>
      <c r="I66" s="2115">
        <f t="shared" ref="I66" si="0">H66-H66*$I$65</f>
        <v>196.43636363636361</v>
      </c>
      <c r="J66" s="2118">
        <f>H66*0.8</f>
        <v>215.27272727272725</v>
      </c>
      <c r="K66" s="1921"/>
    </row>
    <row r="67" spans="1:11">
      <c r="A67" s="1092"/>
      <c r="B67" s="1985"/>
      <c r="C67" s="1999" t="s">
        <v>1895</v>
      </c>
      <c r="D67" s="2000" t="s">
        <v>192</v>
      </c>
      <c r="E67" s="2001">
        <v>225</v>
      </c>
      <c r="F67" s="2000">
        <v>30</v>
      </c>
      <c r="G67" s="2001">
        <v>120</v>
      </c>
      <c r="H67" s="2180">
        <v>389.09090909090907</v>
      </c>
      <c r="I67" s="2122">
        <f t="shared" ref="I67:I71" si="1">H67-H67*$I$65</f>
        <v>284.0363636363636</v>
      </c>
      <c r="J67" s="2119">
        <f t="shared" ref="J67:J71" si="2">H67*0.8</f>
        <v>311.27272727272725</v>
      </c>
      <c r="K67" s="1921"/>
    </row>
    <row r="68" spans="1:11">
      <c r="A68" s="1092"/>
      <c r="B68" s="1987"/>
      <c r="C68" s="2002" t="s">
        <v>1896</v>
      </c>
      <c r="D68" s="2003" t="s">
        <v>194</v>
      </c>
      <c r="E68" s="2004">
        <v>350</v>
      </c>
      <c r="F68" s="2003">
        <v>16</v>
      </c>
      <c r="G68" s="2004">
        <v>64</v>
      </c>
      <c r="H68" s="2154">
        <v>638.18181818181813</v>
      </c>
      <c r="I68" s="2115">
        <f t="shared" si="1"/>
        <v>465.87272727272722</v>
      </c>
      <c r="J68" s="2118">
        <f t="shared" si="2"/>
        <v>510.5454545454545</v>
      </c>
      <c r="K68" s="1921"/>
    </row>
    <row r="69" spans="1:11">
      <c r="A69" s="1092"/>
      <c r="B69" s="1985"/>
      <c r="C69" s="1999" t="s">
        <v>1897</v>
      </c>
      <c r="D69" s="2000" t="s">
        <v>209</v>
      </c>
      <c r="E69" s="2001">
        <v>485</v>
      </c>
      <c r="F69" s="2000">
        <v>8</v>
      </c>
      <c r="G69" s="2001">
        <v>32</v>
      </c>
      <c r="H69" s="2180">
        <v>949.09090909090901</v>
      </c>
      <c r="I69" s="2122">
        <f t="shared" si="1"/>
        <v>692.83636363636356</v>
      </c>
      <c r="J69" s="2119">
        <f t="shared" si="2"/>
        <v>759.27272727272725</v>
      </c>
      <c r="K69" s="1921"/>
    </row>
    <row r="70" spans="1:11">
      <c r="A70" s="1092"/>
      <c r="B70" s="1985"/>
      <c r="C70" s="2002" t="s">
        <v>1898</v>
      </c>
      <c r="D70" s="2003" t="s">
        <v>303</v>
      </c>
      <c r="E70" s="2004">
        <v>760</v>
      </c>
      <c r="F70" s="2003">
        <v>6</v>
      </c>
      <c r="G70" s="2004">
        <v>24</v>
      </c>
      <c r="H70" s="2154">
        <v>1649.090909090909</v>
      </c>
      <c r="I70" s="2115">
        <f t="shared" si="1"/>
        <v>1203.8363636363636</v>
      </c>
      <c r="J70" s="2118">
        <f t="shared" si="2"/>
        <v>1319.2727272727273</v>
      </c>
      <c r="K70" s="1921"/>
    </row>
    <row r="71" spans="1:11">
      <c r="A71" s="1092"/>
      <c r="B71" s="1985"/>
      <c r="C71" s="1999" t="s">
        <v>1899</v>
      </c>
      <c r="D71" s="2000" t="s">
        <v>305</v>
      </c>
      <c r="E71" s="2001">
        <v>1050</v>
      </c>
      <c r="F71" s="2000">
        <v>4</v>
      </c>
      <c r="G71" s="2001">
        <v>16</v>
      </c>
      <c r="H71" s="2180">
        <v>2149.090909090909</v>
      </c>
      <c r="I71" s="2122">
        <f t="shared" si="1"/>
        <v>1568.8363636363636</v>
      </c>
      <c r="J71" s="2119">
        <f t="shared" si="2"/>
        <v>1719.2727272727273</v>
      </c>
      <c r="K71" s="1921"/>
    </row>
    <row r="72" spans="1:11">
      <c r="A72" s="1092"/>
      <c r="B72" s="1981" t="s">
        <v>1901</v>
      </c>
      <c r="C72" s="1988"/>
      <c r="D72" s="1982" t="s">
        <v>1972</v>
      </c>
      <c r="E72" s="1983"/>
      <c r="F72" s="1983"/>
      <c r="G72" s="1983"/>
      <c r="H72" s="2174"/>
      <c r="I72" s="2124"/>
      <c r="J72" s="2120"/>
      <c r="K72" s="1921"/>
    </row>
    <row r="73" spans="1:11" ht="15.75" thickBot="1">
      <c r="A73" s="1092"/>
      <c r="B73" s="1985"/>
      <c r="C73" s="1990"/>
      <c r="D73" s="1983" t="s">
        <v>25</v>
      </c>
      <c r="E73" s="1983"/>
      <c r="F73" s="1983"/>
      <c r="G73" s="1983"/>
      <c r="H73" s="2174"/>
      <c r="I73" s="2124"/>
      <c r="J73" s="2120"/>
      <c r="K73" s="1921"/>
    </row>
    <row r="74" spans="1:11" ht="15.75" thickBot="1">
      <c r="A74" s="1092"/>
      <c r="B74" s="1985"/>
      <c r="C74" s="2005" t="s">
        <v>10</v>
      </c>
      <c r="D74" s="2006" t="s">
        <v>11</v>
      </c>
      <c r="E74" s="2006" t="s">
        <v>12</v>
      </c>
      <c r="F74" s="2006" t="s">
        <v>13</v>
      </c>
      <c r="G74" s="2006" t="s">
        <v>14</v>
      </c>
      <c r="H74" s="2125" t="s">
        <v>1835</v>
      </c>
      <c r="I74" s="2008">
        <f>$G$17</f>
        <v>0.27</v>
      </c>
      <c r="J74" s="2121" t="s">
        <v>1834</v>
      </c>
      <c r="K74" s="1921"/>
    </row>
    <row r="75" spans="1:11">
      <c r="A75" s="1092"/>
      <c r="B75" s="1985"/>
      <c r="C75" s="2002" t="s">
        <v>1902</v>
      </c>
      <c r="D75" s="2003" t="s">
        <v>190</v>
      </c>
      <c r="E75" s="2004">
        <v>165</v>
      </c>
      <c r="F75" s="2003">
        <v>35</v>
      </c>
      <c r="G75" s="2004">
        <v>140</v>
      </c>
      <c r="H75" s="2154">
        <v>300</v>
      </c>
      <c r="I75" s="2115">
        <f>H75-H75*$I$74</f>
        <v>219</v>
      </c>
      <c r="J75" s="2118">
        <f>H75*0.8</f>
        <v>240</v>
      </c>
      <c r="K75" s="1921"/>
    </row>
    <row r="76" spans="1:11">
      <c r="A76" s="1092"/>
      <c r="B76" s="1985"/>
      <c r="C76" s="1999" t="s">
        <v>1903</v>
      </c>
      <c r="D76" s="2000" t="s">
        <v>192</v>
      </c>
      <c r="E76" s="2001">
        <v>235</v>
      </c>
      <c r="F76" s="2000">
        <v>30</v>
      </c>
      <c r="G76" s="2001">
        <v>120</v>
      </c>
      <c r="H76" s="2180">
        <v>438.18181818181813</v>
      </c>
      <c r="I76" s="2115">
        <f t="shared" ref="I76:I80" si="3">H76-H76*$I$74</f>
        <v>319.87272727272722</v>
      </c>
      <c r="J76" s="2119">
        <f t="shared" ref="J76:J80" si="4">H76*0.8</f>
        <v>350.5454545454545</v>
      </c>
      <c r="K76" s="1921"/>
    </row>
    <row r="77" spans="1:11">
      <c r="A77" s="1092"/>
      <c r="B77" s="1987"/>
      <c r="C77" s="2002" t="s">
        <v>1904</v>
      </c>
      <c r="D77" s="2003" t="s">
        <v>194</v>
      </c>
      <c r="E77" s="2004">
        <v>370</v>
      </c>
      <c r="F77" s="2003">
        <v>16</v>
      </c>
      <c r="G77" s="2004">
        <v>64</v>
      </c>
      <c r="H77" s="2154">
        <v>658.18181818181813</v>
      </c>
      <c r="I77" s="2115">
        <f t="shared" si="3"/>
        <v>480.47272727272718</v>
      </c>
      <c r="J77" s="2118">
        <f t="shared" si="4"/>
        <v>526.5454545454545</v>
      </c>
      <c r="K77" s="1921"/>
    </row>
    <row r="78" spans="1:11">
      <c r="A78" s="1092"/>
      <c r="B78" s="1985"/>
      <c r="C78" s="1999" t="s">
        <v>1905</v>
      </c>
      <c r="D78" s="2000" t="s">
        <v>209</v>
      </c>
      <c r="E78" s="2001">
        <v>510</v>
      </c>
      <c r="F78" s="2000">
        <v>8</v>
      </c>
      <c r="G78" s="2001">
        <v>32</v>
      </c>
      <c r="H78" s="2180">
        <v>1019.9999999999999</v>
      </c>
      <c r="I78" s="2115">
        <f t="shared" si="3"/>
        <v>744.59999999999991</v>
      </c>
      <c r="J78" s="2119">
        <f t="shared" si="4"/>
        <v>816</v>
      </c>
      <c r="K78" s="1921"/>
    </row>
    <row r="79" spans="1:11">
      <c r="A79" s="1092"/>
      <c r="B79" s="1985"/>
      <c r="C79" s="2002" t="s">
        <v>1906</v>
      </c>
      <c r="D79" s="2003" t="s">
        <v>303</v>
      </c>
      <c r="E79" s="2004">
        <v>780</v>
      </c>
      <c r="F79" s="2003">
        <v>6</v>
      </c>
      <c r="G79" s="2004">
        <v>24</v>
      </c>
      <c r="H79" s="2154">
        <v>1590.9090909090908</v>
      </c>
      <c r="I79" s="2115">
        <f t="shared" si="3"/>
        <v>1161.3636363636363</v>
      </c>
      <c r="J79" s="2118">
        <f t="shared" si="4"/>
        <v>1272.7272727272727</v>
      </c>
      <c r="K79" s="1921"/>
    </row>
    <row r="80" spans="1:11">
      <c r="A80" s="1092"/>
      <c r="B80" s="1985"/>
      <c r="C80" s="1999" t="s">
        <v>1907</v>
      </c>
      <c r="D80" s="2000" t="s">
        <v>305</v>
      </c>
      <c r="E80" s="2001">
        <v>1080</v>
      </c>
      <c r="F80" s="2000">
        <v>4</v>
      </c>
      <c r="G80" s="2001">
        <v>16</v>
      </c>
      <c r="H80" s="2180">
        <v>2050.9090909090905</v>
      </c>
      <c r="I80" s="2115">
        <f t="shared" si="3"/>
        <v>1497.1636363636362</v>
      </c>
      <c r="J80" s="2119">
        <f t="shared" si="4"/>
        <v>1640.7272727272725</v>
      </c>
      <c r="K80" s="1921"/>
    </row>
    <row r="81" spans="1:11">
      <c r="A81" s="1092"/>
      <c r="B81" s="1981" t="s">
        <v>1915</v>
      </c>
      <c r="C81" s="1982"/>
      <c r="D81" s="1982" t="s">
        <v>1117</v>
      </c>
      <c r="E81" s="1983"/>
      <c r="F81" s="1983"/>
      <c r="G81" s="1983"/>
      <c r="H81" s="2174"/>
      <c r="I81" s="2124"/>
      <c r="J81" s="2120"/>
      <c r="K81" s="1921"/>
    </row>
    <row r="82" spans="1:11" ht="15.75" thickBot="1">
      <c r="A82" s="1092"/>
      <c r="B82" s="1985"/>
      <c r="C82" s="1983"/>
      <c r="D82" s="1983" t="s">
        <v>31</v>
      </c>
      <c r="E82" s="1983"/>
      <c r="F82" s="1983"/>
      <c r="G82" s="1983"/>
      <c r="H82" s="2174"/>
      <c r="I82" s="2124"/>
      <c r="J82" s="2120"/>
      <c r="K82" s="1921"/>
    </row>
    <row r="83" spans="1:11" ht="15.75" thickBot="1">
      <c r="A83" s="1092"/>
      <c r="B83" s="1985"/>
      <c r="C83" s="2005" t="s">
        <v>10</v>
      </c>
      <c r="D83" s="2006" t="s">
        <v>11</v>
      </c>
      <c r="E83" s="2006" t="s">
        <v>12</v>
      </c>
      <c r="F83" s="2006" t="s">
        <v>13</v>
      </c>
      <c r="G83" s="2006" t="s">
        <v>14</v>
      </c>
      <c r="H83" s="2125" t="s">
        <v>1835</v>
      </c>
      <c r="I83" s="2008">
        <f>$G$17</f>
        <v>0.27</v>
      </c>
      <c r="J83" s="2121" t="s">
        <v>1834</v>
      </c>
      <c r="K83" s="1921"/>
    </row>
    <row r="84" spans="1:11">
      <c r="A84" s="1092"/>
      <c r="B84" s="1987"/>
      <c r="C84" s="2002" t="s">
        <v>1908</v>
      </c>
      <c r="D84" s="2003" t="s">
        <v>190</v>
      </c>
      <c r="E84" s="2004">
        <v>128</v>
      </c>
      <c r="F84" s="2003">
        <v>50</v>
      </c>
      <c r="G84" s="2004">
        <v>200</v>
      </c>
      <c r="H84" s="2154">
        <v>249.09090909090907</v>
      </c>
      <c r="I84" s="2115">
        <f>H84-H84*$I$83</f>
        <v>181.83636363636361</v>
      </c>
      <c r="J84" s="2118">
        <f>H84*0.8</f>
        <v>199.27272727272725</v>
      </c>
      <c r="K84" s="1921"/>
    </row>
    <row r="85" spans="1:11">
      <c r="A85" s="1092"/>
      <c r="B85" s="1985"/>
      <c r="C85" s="1999" t="s">
        <v>1909</v>
      </c>
      <c r="D85" s="2000" t="s">
        <v>192</v>
      </c>
      <c r="E85" s="2001">
        <v>188</v>
      </c>
      <c r="F85" s="2000">
        <v>40</v>
      </c>
      <c r="G85" s="2001">
        <v>160</v>
      </c>
      <c r="H85" s="2180">
        <v>399.99999999999994</v>
      </c>
      <c r="I85" s="2115">
        <f t="shared" ref="I85:I86" si="5">H85-H85*$I$83</f>
        <v>291.99999999999994</v>
      </c>
      <c r="J85" s="2119">
        <f t="shared" ref="J85:J86" si="6">H85*0.8</f>
        <v>320</v>
      </c>
      <c r="K85" s="1921"/>
    </row>
    <row r="86" spans="1:11">
      <c r="A86" s="1092"/>
      <c r="B86" s="1985"/>
      <c r="C86" s="2002" t="s">
        <v>1910</v>
      </c>
      <c r="D86" s="2003" t="s">
        <v>194</v>
      </c>
      <c r="E86" s="2004">
        <v>335</v>
      </c>
      <c r="F86" s="2003">
        <v>20</v>
      </c>
      <c r="G86" s="2004">
        <v>80</v>
      </c>
      <c r="H86" s="2154">
        <v>620</v>
      </c>
      <c r="I86" s="2115">
        <f t="shared" si="5"/>
        <v>452.6</v>
      </c>
      <c r="J86" s="2118">
        <f t="shared" si="6"/>
        <v>496</v>
      </c>
      <c r="K86" s="1921"/>
    </row>
    <row r="87" spans="1:11">
      <c r="A87" s="1092"/>
      <c r="B87" s="1981" t="s">
        <v>1916</v>
      </c>
      <c r="C87" s="1982"/>
      <c r="D87" s="1982" t="s">
        <v>1117</v>
      </c>
      <c r="E87" s="1983"/>
      <c r="F87" s="1983"/>
      <c r="G87" s="1983"/>
      <c r="H87" s="2174"/>
      <c r="I87" s="2124"/>
      <c r="J87" s="2120"/>
      <c r="K87" s="1921"/>
    </row>
    <row r="88" spans="1:11" ht="15.75" thickBot="1">
      <c r="A88" s="1092"/>
      <c r="B88" s="1985"/>
      <c r="C88" s="1983"/>
      <c r="D88" s="1983" t="s">
        <v>25</v>
      </c>
      <c r="E88" s="1983"/>
      <c r="F88" s="1983"/>
      <c r="G88" s="1983"/>
      <c r="H88" s="2174"/>
      <c r="I88" s="2124"/>
      <c r="J88" s="2120"/>
      <c r="K88" s="1921"/>
    </row>
    <row r="89" spans="1:11" ht="15.75" thickBot="1">
      <c r="A89" s="1092"/>
      <c r="B89" s="1985"/>
      <c r="C89" s="2005" t="s">
        <v>10</v>
      </c>
      <c r="D89" s="2006" t="s">
        <v>11</v>
      </c>
      <c r="E89" s="2006" t="s">
        <v>12</v>
      </c>
      <c r="F89" s="2006" t="s">
        <v>13</v>
      </c>
      <c r="G89" s="2006" t="s">
        <v>14</v>
      </c>
      <c r="H89" s="2125" t="s">
        <v>1835</v>
      </c>
      <c r="I89" s="2008">
        <f>$G$17</f>
        <v>0.27</v>
      </c>
      <c r="J89" s="2121" t="s">
        <v>1834</v>
      </c>
      <c r="K89" s="1921"/>
    </row>
    <row r="90" spans="1:11">
      <c r="A90" s="1092"/>
      <c r="B90" s="1985"/>
      <c r="C90" s="2002" t="s">
        <v>1911</v>
      </c>
      <c r="D90" s="2003" t="s">
        <v>190</v>
      </c>
      <c r="E90" s="2004">
        <v>135</v>
      </c>
      <c r="F90" s="2003">
        <v>20</v>
      </c>
      <c r="G90" s="2004">
        <v>100</v>
      </c>
      <c r="H90" s="2154">
        <v>300</v>
      </c>
      <c r="I90" s="2115">
        <f>H90-H90*$I$89</f>
        <v>219</v>
      </c>
      <c r="J90" s="2118">
        <f>H90*0.8</f>
        <v>240</v>
      </c>
      <c r="K90" s="1921"/>
    </row>
    <row r="91" spans="1:11">
      <c r="A91" s="1092"/>
      <c r="B91" s="1987"/>
      <c r="C91" s="1999" t="s">
        <v>1912</v>
      </c>
      <c r="D91" s="2000" t="s">
        <v>192</v>
      </c>
      <c r="E91" s="2001">
        <v>200</v>
      </c>
      <c r="F91" s="2000">
        <v>16</v>
      </c>
      <c r="G91" s="2001">
        <v>80</v>
      </c>
      <c r="H91" s="2180">
        <v>419.99999999999994</v>
      </c>
      <c r="I91" s="2115">
        <f t="shared" ref="I91:I92" si="7">H91-H91*$I$89</f>
        <v>306.59999999999997</v>
      </c>
      <c r="J91" s="2119">
        <f t="shared" ref="J91:J92" si="8">H91*0.8</f>
        <v>336</v>
      </c>
      <c r="K91" s="1921"/>
    </row>
    <row r="92" spans="1:11">
      <c r="A92" s="1092"/>
      <c r="B92" s="1985"/>
      <c r="C92" s="2002" t="s">
        <v>1913</v>
      </c>
      <c r="D92" s="2003" t="s">
        <v>194</v>
      </c>
      <c r="E92" s="2004">
        <v>310</v>
      </c>
      <c r="F92" s="2003">
        <v>14</v>
      </c>
      <c r="G92" s="2004">
        <v>56</v>
      </c>
      <c r="H92" s="2154">
        <v>660</v>
      </c>
      <c r="I92" s="2115">
        <f t="shared" si="7"/>
        <v>481.79999999999995</v>
      </c>
      <c r="J92" s="2118">
        <f t="shared" si="8"/>
        <v>528</v>
      </c>
      <c r="K92" s="1921"/>
    </row>
    <row r="93" spans="1:11">
      <c r="A93" s="1092"/>
      <c r="B93" s="1981" t="s">
        <v>1917</v>
      </c>
      <c r="C93" s="1982"/>
      <c r="D93" s="1982" t="s">
        <v>1971</v>
      </c>
      <c r="E93" s="1983"/>
      <c r="F93" s="1983"/>
      <c r="G93" s="1983"/>
      <c r="H93" s="2174"/>
      <c r="I93" s="2124"/>
      <c r="J93" s="2120"/>
      <c r="K93" s="1921"/>
    </row>
    <row r="94" spans="1:11" ht="18" customHeight="1" thickBot="1">
      <c r="A94" s="1092"/>
      <c r="B94" s="1985"/>
      <c r="C94" s="1983"/>
      <c r="D94" s="1983" t="s">
        <v>27</v>
      </c>
      <c r="E94" s="1983"/>
      <c r="F94" s="1983"/>
      <c r="G94" s="1983"/>
      <c r="H94" s="2174"/>
      <c r="I94" s="2124"/>
      <c r="J94" s="2120"/>
      <c r="K94" s="1921"/>
    </row>
    <row r="95" spans="1:11" ht="15.75" thickBot="1">
      <c r="A95" s="1092"/>
      <c r="B95" s="1985"/>
      <c r="C95" s="2005" t="s">
        <v>10</v>
      </c>
      <c r="D95" s="2006" t="s">
        <v>11</v>
      </c>
      <c r="E95" s="2006" t="s">
        <v>12</v>
      </c>
      <c r="F95" s="2006" t="s">
        <v>13</v>
      </c>
      <c r="G95" s="2006" t="s">
        <v>14</v>
      </c>
      <c r="H95" s="2125" t="s">
        <v>1835</v>
      </c>
      <c r="I95" s="2008">
        <f>$G$17</f>
        <v>0.27</v>
      </c>
      <c r="J95" s="2121" t="s">
        <v>1834</v>
      </c>
      <c r="K95" s="1921"/>
    </row>
    <row r="96" spans="1:11">
      <c r="A96" s="1092"/>
      <c r="B96" s="1987"/>
      <c r="C96" s="2002" t="s">
        <v>1914</v>
      </c>
      <c r="D96" s="2003" t="s">
        <v>190</v>
      </c>
      <c r="E96" s="2004">
        <v>160</v>
      </c>
      <c r="F96" s="2003">
        <v>35</v>
      </c>
      <c r="G96" s="2004">
        <v>140</v>
      </c>
      <c r="H96" s="2154">
        <v>256.36363636363632</v>
      </c>
      <c r="I96" s="2115">
        <f>H96-H96*$I$95</f>
        <v>187.14545454545453</v>
      </c>
      <c r="J96" s="2118">
        <f t="shared" ref="J96" si="9">H96*0.8</f>
        <v>205.09090909090907</v>
      </c>
      <c r="K96" s="1921"/>
    </row>
    <row r="97" spans="1:11" ht="18" customHeight="1">
      <c r="A97" s="1092"/>
      <c r="B97" s="1981" t="s">
        <v>1918</v>
      </c>
      <c r="C97" s="1983"/>
      <c r="D97" s="1982" t="s">
        <v>1970</v>
      </c>
      <c r="E97" s="1991"/>
      <c r="F97" s="1991"/>
      <c r="G97" s="1991"/>
      <c r="H97" s="2126"/>
      <c r="I97" s="2124"/>
      <c r="J97" s="2120"/>
      <c r="K97" s="1921"/>
    </row>
    <row r="98" spans="1:11" ht="15.75" thickBot="1">
      <c r="A98" s="1092"/>
      <c r="B98" s="1985"/>
      <c r="C98" s="1983"/>
      <c r="D98" s="1983" t="s">
        <v>25</v>
      </c>
      <c r="E98" s="1983"/>
      <c r="F98" s="1983"/>
      <c r="G98" s="1993"/>
      <c r="H98" s="2178"/>
      <c r="I98" s="2124"/>
      <c r="J98" s="2120"/>
      <c r="K98" s="1921"/>
    </row>
    <row r="99" spans="1:11" ht="15.75" thickBot="1">
      <c r="A99" s="1092"/>
      <c r="B99" s="1985"/>
      <c r="C99" s="2005" t="s">
        <v>10</v>
      </c>
      <c r="D99" s="2006" t="s">
        <v>11</v>
      </c>
      <c r="E99" s="2006" t="s">
        <v>12</v>
      </c>
      <c r="F99" s="2006" t="s">
        <v>13</v>
      </c>
      <c r="G99" s="2006" t="s">
        <v>14</v>
      </c>
      <c r="H99" s="2125" t="s">
        <v>1835</v>
      </c>
      <c r="I99" s="2008">
        <f>$G$17</f>
        <v>0.27</v>
      </c>
      <c r="J99" s="2121" t="s">
        <v>1834</v>
      </c>
      <c r="K99" s="1921"/>
    </row>
    <row r="100" spans="1:11">
      <c r="A100" s="1092"/>
      <c r="B100" s="1985"/>
      <c r="C100" s="2002" t="s">
        <v>1923</v>
      </c>
      <c r="D100" s="2003" t="s">
        <v>190</v>
      </c>
      <c r="E100" s="2004">
        <v>190</v>
      </c>
      <c r="F100" s="2003">
        <v>35</v>
      </c>
      <c r="G100" s="2004">
        <v>140</v>
      </c>
      <c r="H100" s="2154">
        <v>354.5454545454545</v>
      </c>
      <c r="I100" s="2115">
        <f>H100-H100*$I$99</f>
        <v>258.81818181818176</v>
      </c>
      <c r="J100" s="2118">
        <f>H100*0.8</f>
        <v>283.63636363636363</v>
      </c>
      <c r="K100" s="1921"/>
    </row>
    <row r="101" spans="1:11">
      <c r="A101" s="1092"/>
      <c r="B101" s="1987"/>
      <c r="C101" s="1999" t="s">
        <v>1924</v>
      </c>
      <c r="D101" s="2000" t="s">
        <v>192</v>
      </c>
      <c r="E101" s="2001">
        <v>290</v>
      </c>
      <c r="F101" s="2000">
        <v>30</v>
      </c>
      <c r="G101" s="2001">
        <v>120</v>
      </c>
      <c r="H101" s="2180">
        <v>499.99999999999994</v>
      </c>
      <c r="I101" s="2115">
        <f t="shared" ref="I101:I105" si="10">H101-H101*$I$99</f>
        <v>364.99999999999994</v>
      </c>
      <c r="J101" s="2119">
        <f t="shared" ref="J101:J105" si="11">H101*0.8</f>
        <v>400</v>
      </c>
      <c r="K101" s="1921"/>
    </row>
    <row r="102" spans="1:11">
      <c r="A102" s="1092"/>
      <c r="B102" s="1985"/>
      <c r="C102" s="2002" t="s">
        <v>1925</v>
      </c>
      <c r="D102" s="2003" t="s">
        <v>194</v>
      </c>
      <c r="E102" s="2004">
        <v>430</v>
      </c>
      <c r="F102" s="2003">
        <v>15</v>
      </c>
      <c r="G102" s="2004">
        <v>60</v>
      </c>
      <c r="H102" s="2154">
        <v>930.90909090909088</v>
      </c>
      <c r="I102" s="2115">
        <f t="shared" si="10"/>
        <v>679.56363636363631</v>
      </c>
      <c r="J102" s="2118">
        <f t="shared" si="11"/>
        <v>744.72727272727275</v>
      </c>
      <c r="K102" s="1921"/>
    </row>
    <row r="103" spans="1:11">
      <c r="A103" s="1092"/>
      <c r="B103" s="1985"/>
      <c r="C103" s="1999" t="s">
        <v>1990</v>
      </c>
      <c r="D103" s="2000" t="s">
        <v>209</v>
      </c>
      <c r="E103" s="2001">
        <v>825</v>
      </c>
      <c r="F103" s="2000">
        <v>6</v>
      </c>
      <c r="G103" s="2001">
        <v>24</v>
      </c>
      <c r="H103" s="2180">
        <v>1400</v>
      </c>
      <c r="I103" s="2115">
        <f t="shared" si="10"/>
        <v>1022</v>
      </c>
      <c r="J103" s="2119">
        <f t="shared" si="11"/>
        <v>1120</v>
      </c>
      <c r="K103" s="1921"/>
    </row>
    <row r="104" spans="1:11">
      <c r="A104" s="1092"/>
      <c r="B104" s="1985"/>
      <c r="C104" s="2002" t="s">
        <v>1991</v>
      </c>
      <c r="D104" s="2003" t="s">
        <v>303</v>
      </c>
      <c r="E104" s="2004">
        <v>1380</v>
      </c>
      <c r="F104" s="2003">
        <v>2</v>
      </c>
      <c r="G104" s="2004">
        <v>10</v>
      </c>
      <c r="H104" s="2154">
        <v>2200</v>
      </c>
      <c r="I104" s="2115">
        <f t="shared" si="10"/>
        <v>1606</v>
      </c>
      <c r="J104" s="2118">
        <f t="shared" si="11"/>
        <v>1760</v>
      </c>
      <c r="K104" s="1921"/>
    </row>
    <row r="105" spans="1:11">
      <c r="A105" s="1092"/>
      <c r="B105" s="1985"/>
      <c r="C105" s="1999" t="s">
        <v>1992</v>
      </c>
      <c r="D105" s="2000" t="s">
        <v>305</v>
      </c>
      <c r="E105" s="2001">
        <v>2195</v>
      </c>
      <c r="F105" s="2000">
        <v>2</v>
      </c>
      <c r="G105" s="2001">
        <v>8</v>
      </c>
      <c r="H105" s="2180">
        <v>3799.9999999999995</v>
      </c>
      <c r="I105" s="2115">
        <f t="shared" si="10"/>
        <v>2773.9999999999995</v>
      </c>
      <c r="J105" s="2119">
        <f t="shared" si="11"/>
        <v>3040</v>
      </c>
      <c r="K105" s="1921"/>
    </row>
    <row r="106" spans="1:11">
      <c r="A106" s="1092"/>
      <c r="B106" s="1981" t="s">
        <v>1919</v>
      </c>
      <c r="C106" s="1982"/>
      <c r="D106" s="1982" t="s">
        <v>1969</v>
      </c>
      <c r="E106" s="1983"/>
      <c r="F106" s="1983"/>
      <c r="G106" s="1983"/>
      <c r="H106" s="2161"/>
      <c r="I106" s="1989"/>
      <c r="J106" s="1984"/>
      <c r="K106" s="1921"/>
    </row>
    <row r="107" spans="1:11" ht="15.75" thickBot="1">
      <c r="A107" s="1092"/>
      <c r="B107" s="1985"/>
      <c r="C107" s="1983"/>
      <c r="D107" s="1983" t="s">
        <v>25</v>
      </c>
      <c r="E107" s="1983"/>
      <c r="F107" s="1983"/>
      <c r="G107" s="1983"/>
      <c r="H107" s="2161"/>
      <c r="I107" s="1989"/>
      <c r="J107" s="1984"/>
      <c r="K107" s="1921"/>
    </row>
    <row r="108" spans="1:11" ht="15.75" thickBot="1">
      <c r="A108" s="1092"/>
      <c r="B108" s="1985"/>
      <c r="C108" s="2005" t="s">
        <v>10</v>
      </c>
      <c r="D108" s="2006" t="s">
        <v>11</v>
      </c>
      <c r="E108" s="2006" t="s">
        <v>12</v>
      </c>
      <c r="F108" s="2006" t="s">
        <v>13</v>
      </c>
      <c r="G108" s="2006" t="s">
        <v>14</v>
      </c>
      <c r="H108" s="2140" t="s">
        <v>1835</v>
      </c>
      <c r="I108" s="2008">
        <f>$G$17</f>
        <v>0.27</v>
      </c>
      <c r="J108" s="2007" t="s">
        <v>1834</v>
      </c>
      <c r="K108" s="1921"/>
    </row>
    <row r="109" spans="1:11">
      <c r="A109" s="1092"/>
      <c r="B109" s="1987"/>
      <c r="C109" s="2002" t="s">
        <v>1926</v>
      </c>
      <c r="D109" s="2003" t="s">
        <v>190</v>
      </c>
      <c r="E109" s="2004">
        <v>210</v>
      </c>
      <c r="F109" s="2003">
        <v>25</v>
      </c>
      <c r="G109" s="2004">
        <v>100</v>
      </c>
      <c r="H109" s="2154">
        <v>399.99999999999994</v>
      </c>
      <c r="I109" s="2115">
        <f>H109-H109*$I$108</f>
        <v>291.99999999999994</v>
      </c>
      <c r="J109" s="2118">
        <f>H109*0.8</f>
        <v>320</v>
      </c>
      <c r="K109" s="1921"/>
    </row>
    <row r="110" spans="1:11">
      <c r="A110" s="1092"/>
      <c r="B110" s="1985"/>
      <c r="C110" s="1999" t="s">
        <v>1927</v>
      </c>
      <c r="D110" s="2000" t="s">
        <v>192</v>
      </c>
      <c r="E110" s="2001">
        <v>300</v>
      </c>
      <c r="F110" s="2000">
        <v>15</v>
      </c>
      <c r="G110" s="2001">
        <v>60</v>
      </c>
      <c r="H110" s="2180">
        <v>580</v>
      </c>
      <c r="I110" s="2115">
        <f t="shared" ref="I110:I111" si="12">H110-H110*$I$108</f>
        <v>423.4</v>
      </c>
      <c r="J110" s="2119">
        <f t="shared" ref="J110:J111" si="13">H110*0.8</f>
        <v>464</v>
      </c>
      <c r="K110" s="1921"/>
    </row>
    <row r="111" spans="1:11">
      <c r="A111" s="1092"/>
      <c r="B111" s="1985"/>
      <c r="C111" s="2002" t="s">
        <v>1928</v>
      </c>
      <c r="D111" s="2003" t="s">
        <v>194</v>
      </c>
      <c r="E111" s="2004">
        <v>480</v>
      </c>
      <c r="F111" s="2003">
        <v>8</v>
      </c>
      <c r="G111" s="2004">
        <v>32</v>
      </c>
      <c r="H111" s="2154">
        <v>799.99999999999989</v>
      </c>
      <c r="I111" s="2115">
        <f t="shared" si="12"/>
        <v>583.99999999999989</v>
      </c>
      <c r="J111" s="2118">
        <f t="shared" si="13"/>
        <v>640</v>
      </c>
      <c r="K111" s="1921"/>
    </row>
    <row r="112" spans="1:11">
      <c r="A112" s="1092"/>
      <c r="B112" s="1981" t="s">
        <v>1920</v>
      </c>
      <c r="C112" s="1982"/>
      <c r="D112" s="1982" t="s">
        <v>1127</v>
      </c>
      <c r="E112" s="1983"/>
      <c r="F112" s="1983"/>
      <c r="G112" s="1983"/>
      <c r="H112" s="2161"/>
      <c r="I112" s="1989"/>
      <c r="J112" s="1984"/>
      <c r="K112" s="1921"/>
    </row>
    <row r="113" spans="1:12" ht="15.75" thickBot="1">
      <c r="A113" s="1092"/>
      <c r="B113" s="1985"/>
      <c r="C113" s="1983"/>
      <c r="D113" s="1983" t="s">
        <v>31</v>
      </c>
      <c r="E113" s="1983"/>
      <c r="F113" s="1983"/>
      <c r="G113" s="1983"/>
      <c r="H113" s="2161"/>
      <c r="I113" s="1989"/>
      <c r="J113" s="1984"/>
      <c r="K113" s="1921"/>
    </row>
    <row r="114" spans="1:12" ht="15.75" thickBot="1">
      <c r="A114" s="1092"/>
      <c r="B114" s="1985"/>
      <c r="C114" s="2005" t="s">
        <v>10</v>
      </c>
      <c r="D114" s="2006" t="s">
        <v>11</v>
      </c>
      <c r="E114" s="2006" t="s">
        <v>12</v>
      </c>
      <c r="F114" s="2006" t="s">
        <v>13</v>
      </c>
      <c r="G114" s="2006" t="s">
        <v>14</v>
      </c>
      <c r="H114" s="2140" t="s">
        <v>1835</v>
      </c>
      <c r="I114" s="2008">
        <f>$G$17</f>
        <v>0.27</v>
      </c>
      <c r="J114" s="2007" t="s">
        <v>1834</v>
      </c>
      <c r="K114" s="1921"/>
    </row>
    <row r="115" spans="1:12">
      <c r="A115" s="1092"/>
      <c r="B115" s="1987"/>
      <c r="C115" s="2002" t="s">
        <v>1981</v>
      </c>
      <c r="D115" s="2003" t="s">
        <v>190</v>
      </c>
      <c r="E115" s="2004">
        <v>250</v>
      </c>
      <c r="F115" s="2003">
        <v>18</v>
      </c>
      <c r="G115" s="2004">
        <v>72</v>
      </c>
      <c r="H115" s="2154">
        <v>540</v>
      </c>
      <c r="I115" s="2115">
        <f>H115-H115*$I$114</f>
        <v>394.2</v>
      </c>
      <c r="J115" s="2118">
        <f t="shared" ref="J115" si="14">H115*0.8</f>
        <v>432</v>
      </c>
      <c r="K115" s="1921"/>
    </row>
    <row r="116" spans="1:12">
      <c r="A116" s="1092"/>
      <c r="B116" s="1981" t="s">
        <v>1921</v>
      </c>
      <c r="C116" s="1982"/>
      <c r="D116" s="1982" t="s">
        <v>1968</v>
      </c>
      <c r="E116" s="1983"/>
      <c r="F116" s="1983"/>
      <c r="G116" s="1983"/>
      <c r="H116" s="2161"/>
      <c r="I116" s="1989"/>
      <c r="J116" s="1984"/>
      <c r="K116" s="1921"/>
    </row>
    <row r="117" spans="1:12" ht="15.75" thickBot="1">
      <c r="A117" s="1092"/>
      <c r="B117" s="1985"/>
      <c r="C117" s="1983"/>
      <c r="D117" s="1983" t="s">
        <v>31</v>
      </c>
      <c r="E117" s="1983"/>
      <c r="F117" s="1983"/>
      <c r="G117" s="1983"/>
      <c r="H117" s="2161"/>
      <c r="I117" s="1989"/>
      <c r="J117" s="1984"/>
      <c r="K117" s="1921"/>
    </row>
    <row r="118" spans="1:12" ht="15.75" thickBot="1">
      <c r="A118" s="1092"/>
      <c r="B118" s="1985"/>
      <c r="C118" s="2005" t="s">
        <v>10</v>
      </c>
      <c r="D118" s="2006" t="s">
        <v>11</v>
      </c>
      <c r="E118" s="2006" t="s">
        <v>12</v>
      </c>
      <c r="F118" s="2006" t="s">
        <v>13</v>
      </c>
      <c r="G118" s="2006" t="s">
        <v>14</v>
      </c>
      <c r="H118" s="2140" t="s">
        <v>1835</v>
      </c>
      <c r="I118" s="2008">
        <f>$G$17</f>
        <v>0.27</v>
      </c>
      <c r="J118" s="2007" t="s">
        <v>1834</v>
      </c>
      <c r="K118" s="1921"/>
    </row>
    <row r="119" spans="1:12">
      <c r="A119" s="1092"/>
      <c r="B119" s="1987"/>
      <c r="C119" s="2002" t="s">
        <v>1982</v>
      </c>
      <c r="D119" s="2003" t="s">
        <v>190</v>
      </c>
      <c r="E119" s="2004">
        <v>250</v>
      </c>
      <c r="F119" s="2003">
        <v>10</v>
      </c>
      <c r="G119" s="2004">
        <v>50</v>
      </c>
      <c r="H119" s="2154">
        <v>520</v>
      </c>
      <c r="I119" s="2115">
        <f>H119-H119*$I$118</f>
        <v>379.6</v>
      </c>
      <c r="J119" s="2118">
        <f>H119*0.8</f>
        <v>416</v>
      </c>
      <c r="K119" s="1921"/>
    </row>
    <row r="120" spans="1:12">
      <c r="A120" s="1092"/>
      <c r="B120" s="1985"/>
      <c r="C120" s="1999" t="s">
        <v>1983</v>
      </c>
      <c r="D120" s="2000" t="s">
        <v>192</v>
      </c>
      <c r="E120" s="2001">
        <v>360</v>
      </c>
      <c r="F120" s="2000">
        <v>8</v>
      </c>
      <c r="G120" s="2001">
        <v>40</v>
      </c>
      <c r="H120" s="2155">
        <v>580</v>
      </c>
      <c r="I120" s="2115">
        <f>H120-H120*$I$118</f>
        <v>423.4</v>
      </c>
      <c r="J120" s="2119">
        <f t="shared" ref="J120" si="15">H120*0.8</f>
        <v>464</v>
      </c>
      <c r="K120" s="1921"/>
    </row>
    <row r="121" spans="1:12">
      <c r="A121" s="1092"/>
      <c r="B121" s="1981" t="s">
        <v>1922</v>
      </c>
      <c r="C121" s="1982"/>
      <c r="D121" s="1982" t="s">
        <v>1967</v>
      </c>
      <c r="E121" s="1983"/>
      <c r="F121" s="1983"/>
      <c r="G121" s="1983"/>
      <c r="H121" s="2161"/>
      <c r="I121" s="1989"/>
      <c r="J121" s="1984"/>
      <c r="K121" s="1921"/>
    </row>
    <row r="122" spans="1:12" ht="15.75" thickBot="1">
      <c r="A122" s="1092"/>
      <c r="B122" s="1985"/>
      <c r="C122" s="1983"/>
      <c r="D122" s="1983" t="s">
        <v>27</v>
      </c>
      <c r="E122" s="1983"/>
      <c r="F122" s="1983"/>
      <c r="G122" s="1983"/>
      <c r="H122" s="2161"/>
      <c r="I122" s="1989"/>
      <c r="J122" s="1984"/>
      <c r="K122" s="1921"/>
    </row>
    <row r="123" spans="1:12" ht="15.75" thickBot="1">
      <c r="A123" s="1092"/>
      <c r="B123" s="1985"/>
      <c r="C123" s="2005" t="s">
        <v>10</v>
      </c>
      <c r="D123" s="2006" t="s">
        <v>11</v>
      </c>
      <c r="E123" s="2006" t="s">
        <v>12</v>
      </c>
      <c r="F123" s="2006" t="s">
        <v>13</v>
      </c>
      <c r="G123" s="2006" t="s">
        <v>14</v>
      </c>
      <c r="H123" s="2140" t="s">
        <v>1835</v>
      </c>
      <c r="I123" s="2008">
        <f>$G$17</f>
        <v>0.27</v>
      </c>
      <c r="J123" s="2007" t="s">
        <v>1834</v>
      </c>
      <c r="K123" s="1921"/>
    </row>
    <row r="124" spans="1:12">
      <c r="A124" s="1092"/>
      <c r="B124" s="1987"/>
      <c r="C124" s="2002" t="s">
        <v>1984</v>
      </c>
      <c r="D124" s="2003" t="s">
        <v>190</v>
      </c>
      <c r="E124" s="2004">
        <v>180</v>
      </c>
      <c r="F124" s="2003">
        <v>20</v>
      </c>
      <c r="G124" s="2004">
        <v>80</v>
      </c>
      <c r="H124" s="2154">
        <v>336.36363636363632</v>
      </c>
      <c r="I124" s="2115">
        <f>H124-H124*$I$123</f>
        <v>245.5454545454545</v>
      </c>
      <c r="J124" s="2118">
        <f>H124*0.8</f>
        <v>269.09090909090907</v>
      </c>
      <c r="K124" s="1921"/>
    </row>
    <row r="125" spans="1:12" ht="18.75">
      <c r="A125" s="1092"/>
      <c r="B125" s="1994" t="s">
        <v>65</v>
      </c>
      <c r="C125" s="1973"/>
      <c r="D125" s="1973"/>
      <c r="E125" s="1973"/>
      <c r="F125" s="2049"/>
      <c r="G125" s="1945"/>
      <c r="H125" s="1946"/>
      <c r="I125" s="1947"/>
      <c r="J125" s="1995" t="s">
        <v>1780</v>
      </c>
      <c r="K125" s="1921"/>
    </row>
    <row r="126" spans="1:12" s="1340" customFormat="1">
      <c r="A126" s="1945"/>
      <c r="B126" s="1974" t="s">
        <v>1</v>
      </c>
      <c r="C126" s="1945"/>
      <c r="D126" s="1945"/>
      <c r="E126" s="1945"/>
      <c r="F126" s="1976"/>
      <c r="G126" s="1964"/>
      <c r="H126" s="1977"/>
      <c r="I126" s="1966"/>
      <c r="J126" s="1965" t="s">
        <v>1649</v>
      </c>
      <c r="K126" s="1921"/>
      <c r="L126" s="1920"/>
    </row>
    <row r="127" spans="1:12" s="1340" customFormat="1" ht="24" customHeight="1">
      <c r="A127" s="1945"/>
      <c r="B127" s="2192" t="s">
        <v>753</v>
      </c>
      <c r="C127" s="2192"/>
      <c r="D127" s="2192"/>
      <c r="E127" s="2192"/>
      <c r="F127" s="2192"/>
      <c r="G127" s="2192"/>
      <c r="H127" s="2192"/>
      <c r="I127" s="2192"/>
      <c r="J127" s="2192"/>
      <c r="K127" s="1921"/>
      <c r="L127" s="1920"/>
    </row>
    <row r="128" spans="1:12" s="1340" customFormat="1">
      <c r="A128" s="1945"/>
      <c r="B128" s="1974" t="s">
        <v>2</v>
      </c>
      <c r="C128" s="1945"/>
      <c r="D128" s="1945"/>
      <c r="E128" s="1945"/>
      <c r="F128" s="1976"/>
      <c r="G128" s="1945"/>
      <c r="H128" s="1965"/>
      <c r="I128" s="1966"/>
      <c r="J128" s="1965" t="s">
        <v>1649</v>
      </c>
      <c r="K128" s="1921"/>
      <c r="L128" s="1920"/>
    </row>
    <row r="129" spans="1:12" s="1340" customFormat="1">
      <c r="A129" s="1945"/>
      <c r="B129" s="2029" t="s">
        <v>751</v>
      </c>
      <c r="C129" s="1975"/>
      <c r="D129" s="1945"/>
      <c r="E129" s="1945"/>
      <c r="F129" s="1976"/>
      <c r="G129" s="1945"/>
      <c r="H129" s="1965"/>
      <c r="I129" s="1966"/>
      <c r="J129" s="1965" t="s">
        <v>1649</v>
      </c>
      <c r="K129" s="1921"/>
      <c r="L129" s="1920"/>
    </row>
    <row r="130" spans="1:12" s="1340" customFormat="1">
      <c r="A130" s="1945"/>
      <c r="B130" s="1974" t="s">
        <v>5</v>
      </c>
      <c r="C130" s="1945"/>
      <c r="D130" s="1945"/>
      <c r="E130" s="1945"/>
      <c r="F130" s="1976"/>
      <c r="G130" s="1945"/>
      <c r="H130" s="1965"/>
      <c r="I130" s="1966"/>
      <c r="J130" s="1965" t="s">
        <v>1649</v>
      </c>
      <c r="K130" s="1921"/>
      <c r="L130" s="1920"/>
    </row>
    <row r="131" spans="1:12" s="1340" customFormat="1">
      <c r="A131" s="1945"/>
      <c r="B131" s="1978" t="s">
        <v>1838</v>
      </c>
      <c r="C131" s="1975"/>
      <c r="D131" s="1945"/>
      <c r="E131" s="1945"/>
      <c r="F131" s="1976"/>
      <c r="G131" s="1945"/>
      <c r="H131" s="1965"/>
      <c r="I131" s="1966"/>
      <c r="J131" s="1965" t="s">
        <v>1649</v>
      </c>
      <c r="K131" s="1921"/>
      <c r="L131" s="1920"/>
    </row>
    <row r="132" spans="1:12" s="1340" customFormat="1">
      <c r="A132" s="1945"/>
      <c r="B132" s="1978" t="s">
        <v>1837</v>
      </c>
      <c r="C132" s="1979"/>
      <c r="D132" s="1945"/>
      <c r="E132" s="1945"/>
      <c r="F132" s="1976"/>
      <c r="G132" s="1945"/>
      <c r="H132" s="1965"/>
      <c r="I132" s="1966"/>
      <c r="J132" s="1965" t="s">
        <v>1649</v>
      </c>
      <c r="K132" s="1921"/>
      <c r="L132" s="1920"/>
    </row>
    <row r="133" spans="1:12">
      <c r="A133" s="1092"/>
      <c r="B133" s="2030"/>
      <c r="C133" s="2050"/>
      <c r="D133" s="1944"/>
      <c r="E133" s="1983"/>
      <c r="F133" s="1982"/>
      <c r="G133" s="1945"/>
      <c r="H133" s="1984"/>
      <c r="I133" s="1947"/>
      <c r="J133" s="1946"/>
      <c r="K133" s="1921"/>
    </row>
    <row r="134" spans="1:12">
      <c r="A134" s="1092"/>
      <c r="B134" s="1981" t="s">
        <v>1929</v>
      </c>
      <c r="C134" s="1983"/>
      <c r="D134" s="1982" t="s">
        <v>68</v>
      </c>
      <c r="E134" s="1983"/>
      <c r="F134" s="1983"/>
      <c r="G134" s="1983"/>
      <c r="H134" s="1984"/>
      <c r="I134" s="1989"/>
      <c r="J134" s="1984" t="s">
        <v>1649</v>
      </c>
      <c r="K134" s="1921"/>
    </row>
    <row r="135" spans="1:12" ht="15.75" thickBot="1">
      <c r="A135" s="1092"/>
      <c r="B135" s="1985"/>
      <c r="C135" s="1982"/>
      <c r="D135" s="1983" t="s">
        <v>25</v>
      </c>
      <c r="E135" s="1983"/>
      <c r="F135" s="1983"/>
      <c r="G135" s="1983"/>
      <c r="H135" s="1984"/>
      <c r="I135" s="1989"/>
      <c r="J135" s="1984" t="s">
        <v>1649</v>
      </c>
      <c r="K135" s="1921"/>
    </row>
    <row r="136" spans="1:12" ht="15.75" thickBot="1">
      <c r="A136" s="1092"/>
      <c r="B136" s="1985"/>
      <c r="C136" s="2005" t="s">
        <v>10</v>
      </c>
      <c r="D136" s="2006" t="s">
        <v>11</v>
      </c>
      <c r="E136" s="2006" t="s">
        <v>12</v>
      </c>
      <c r="F136" s="2006" t="s">
        <v>13</v>
      </c>
      <c r="G136" s="2006" t="s">
        <v>14</v>
      </c>
      <c r="H136" s="2140" t="s">
        <v>1835</v>
      </c>
      <c r="I136" s="2008">
        <f>$G$17</f>
        <v>0.27</v>
      </c>
      <c r="J136" s="2007" t="s">
        <v>1834</v>
      </c>
      <c r="K136" s="1921"/>
    </row>
    <row r="137" spans="1:12">
      <c r="A137" s="1092"/>
      <c r="B137" s="1987"/>
      <c r="C137" s="2002" t="s">
        <v>1985</v>
      </c>
      <c r="D137" s="2003" t="s">
        <v>190</v>
      </c>
      <c r="E137" s="2004">
        <v>100</v>
      </c>
      <c r="F137" s="2003">
        <v>80</v>
      </c>
      <c r="G137" s="2004">
        <v>320</v>
      </c>
      <c r="H137" s="2154">
        <v>230.90909090909088</v>
      </c>
      <c r="I137" s="2115">
        <f>H137-H137*$I$136</f>
        <v>168.56363636363633</v>
      </c>
      <c r="J137" s="2118">
        <f>H137*0.8</f>
        <v>184.72727272727272</v>
      </c>
      <c r="K137" s="1921"/>
    </row>
    <row r="138" spans="1:12">
      <c r="A138" s="1092"/>
      <c r="B138" s="1985"/>
      <c r="C138" s="1983"/>
      <c r="D138" s="1983"/>
      <c r="E138" s="1983"/>
      <c r="F138" s="1983"/>
      <c r="G138" s="1983"/>
      <c r="H138" s="2161"/>
      <c r="I138" s="1989"/>
      <c r="J138" s="1984"/>
      <c r="K138" s="1921"/>
    </row>
    <row r="139" spans="1:12" ht="17.25" customHeight="1">
      <c r="A139" s="1092"/>
      <c r="B139" s="1981" t="s">
        <v>1930</v>
      </c>
      <c r="C139" s="1983"/>
      <c r="D139" s="1982" t="s">
        <v>71</v>
      </c>
      <c r="E139" s="1983"/>
      <c r="F139" s="1983"/>
      <c r="G139" s="1983"/>
      <c r="H139" s="2161"/>
      <c r="I139" s="1989"/>
      <c r="J139" s="1984"/>
      <c r="K139" s="1921"/>
    </row>
    <row r="140" spans="1:12" ht="16.5" customHeight="1" thickBot="1">
      <c r="A140" s="1092"/>
      <c r="B140" s="1985"/>
      <c r="C140" s="1982"/>
      <c r="D140" s="1983" t="s">
        <v>27</v>
      </c>
      <c r="E140" s="1983"/>
      <c r="F140" s="1983"/>
      <c r="G140" s="1983"/>
      <c r="H140" s="2161"/>
      <c r="I140" s="1989"/>
      <c r="J140" s="1984"/>
      <c r="K140" s="1921"/>
    </row>
    <row r="141" spans="1:12" ht="15.75" thickBot="1">
      <c r="A141" s="1092"/>
      <c r="B141" s="1985"/>
      <c r="C141" s="2005" t="s">
        <v>10</v>
      </c>
      <c r="D141" s="2006" t="s">
        <v>11</v>
      </c>
      <c r="E141" s="2006" t="s">
        <v>12</v>
      </c>
      <c r="F141" s="2006" t="s">
        <v>13</v>
      </c>
      <c r="G141" s="2006" t="s">
        <v>14</v>
      </c>
      <c r="H141" s="2140" t="s">
        <v>1835</v>
      </c>
      <c r="I141" s="2008">
        <f>$G$17</f>
        <v>0.27</v>
      </c>
      <c r="J141" s="2007" t="s">
        <v>1834</v>
      </c>
      <c r="K141" s="1921"/>
    </row>
    <row r="142" spans="1:12">
      <c r="A142" s="1092"/>
      <c r="B142" s="1987"/>
      <c r="C142" s="2002" t="s">
        <v>1986</v>
      </c>
      <c r="D142" s="2003" t="s">
        <v>338</v>
      </c>
      <c r="E142" s="2004">
        <v>133</v>
      </c>
      <c r="F142" s="2003">
        <v>20</v>
      </c>
      <c r="G142" s="2004">
        <v>80</v>
      </c>
      <c r="H142" s="2154">
        <v>336.36363636363632</v>
      </c>
      <c r="I142" s="2115">
        <f>H142-H142*$I$141</f>
        <v>245.5454545454545</v>
      </c>
      <c r="J142" s="2118">
        <f>H142*0.8</f>
        <v>269.09090909090907</v>
      </c>
      <c r="K142" s="1921"/>
    </row>
    <row r="143" spans="1:12">
      <c r="A143" s="1092"/>
      <c r="B143"/>
      <c r="C143" s="1999" t="s">
        <v>1987</v>
      </c>
      <c r="D143" s="2000" t="s">
        <v>340</v>
      </c>
      <c r="E143" s="2001">
        <v>142</v>
      </c>
      <c r="F143" s="2000">
        <v>20</v>
      </c>
      <c r="G143" s="2001">
        <v>80</v>
      </c>
      <c r="H143" s="2155">
        <v>336.36363636363632</v>
      </c>
      <c r="I143" s="2115">
        <f>H143-H143*$I$141</f>
        <v>245.5454545454545</v>
      </c>
      <c r="J143" s="2119">
        <f>H143*0.8</f>
        <v>269.09090909090907</v>
      </c>
      <c r="K143" s="1921"/>
    </row>
    <row r="144" spans="1:12">
      <c r="A144" s="1092"/>
      <c r="B144" s="1985"/>
      <c r="C144" s="1983"/>
      <c r="D144" s="1983"/>
      <c r="E144" s="1983"/>
      <c r="F144" s="1983"/>
      <c r="G144" s="1983"/>
      <c r="H144" s="2161"/>
      <c r="I144" s="1989"/>
      <c r="J144" s="1984"/>
      <c r="K144" s="1921"/>
    </row>
    <row r="145" spans="1:12">
      <c r="A145" s="1092"/>
      <c r="B145" s="1981" t="s">
        <v>1931</v>
      </c>
      <c r="C145" s="1983"/>
      <c r="D145" s="1982" t="s">
        <v>73</v>
      </c>
      <c r="E145" s="1983"/>
      <c r="F145" s="1983"/>
      <c r="G145" s="1983"/>
      <c r="H145" s="2161"/>
      <c r="I145" s="1989"/>
      <c r="J145" s="1984"/>
      <c r="K145" s="1921"/>
    </row>
    <row r="146" spans="1:12" ht="15.75" thickBot="1">
      <c r="A146" s="1092"/>
      <c r="B146" s="1985"/>
      <c r="C146" s="1982"/>
      <c r="D146" s="1983"/>
      <c r="E146" s="1983"/>
      <c r="F146" s="1983"/>
      <c r="G146" s="1983"/>
      <c r="H146" s="2161"/>
      <c r="I146" s="1989"/>
      <c r="J146" s="1984"/>
      <c r="K146" s="1921"/>
    </row>
    <row r="147" spans="1:12" ht="15.75" thickBot="1">
      <c r="A147" s="1092"/>
      <c r="B147"/>
      <c r="C147" s="2005" t="s">
        <v>10</v>
      </c>
      <c r="D147" s="2006" t="s">
        <v>11</v>
      </c>
      <c r="E147" s="2006" t="s">
        <v>12</v>
      </c>
      <c r="F147" s="2006" t="s">
        <v>13</v>
      </c>
      <c r="G147" s="2006" t="s">
        <v>14</v>
      </c>
      <c r="H147" s="2140" t="s">
        <v>1835</v>
      </c>
      <c r="I147" s="2008">
        <f>$G$17</f>
        <v>0.27</v>
      </c>
      <c r="J147" s="2007" t="s">
        <v>1834</v>
      </c>
      <c r="K147" s="1921"/>
    </row>
    <row r="148" spans="1:12">
      <c r="A148" s="1092"/>
      <c r="B148" s="1987"/>
      <c r="C148" s="2002" t="s">
        <v>1988</v>
      </c>
      <c r="D148" s="2003" t="s">
        <v>342</v>
      </c>
      <c r="E148" s="2004">
        <v>138</v>
      </c>
      <c r="F148" s="2003">
        <v>20</v>
      </c>
      <c r="G148" s="2004">
        <v>80</v>
      </c>
      <c r="H148" s="2154">
        <v>325.45454545454544</v>
      </c>
      <c r="I148" s="2115">
        <f>H148-H148*$I$147</f>
        <v>237.58181818181816</v>
      </c>
      <c r="J148" s="2118">
        <f>H148*0.8</f>
        <v>260.36363636363637</v>
      </c>
      <c r="K148" s="1921"/>
    </row>
    <row r="149" spans="1:12">
      <c r="A149" s="1092"/>
      <c r="B149" s="1987"/>
      <c r="C149" s="1996"/>
      <c r="D149" s="1996"/>
      <c r="E149" s="814"/>
      <c r="F149" s="1996"/>
      <c r="G149" s="814"/>
      <c r="H149" s="2165"/>
      <c r="I149" s="1989"/>
      <c r="J149" s="1984"/>
      <c r="K149" s="1921"/>
    </row>
    <row r="150" spans="1:12">
      <c r="A150" s="1092"/>
      <c r="B150" s="1981" t="s">
        <v>1932</v>
      </c>
      <c r="C150" s="1983"/>
      <c r="D150" s="1982" t="s">
        <v>75</v>
      </c>
      <c r="E150" s="1983"/>
      <c r="F150" s="1983"/>
      <c r="G150" s="1983"/>
      <c r="H150" s="2161"/>
      <c r="I150" s="1989"/>
      <c r="J150" s="1984"/>
      <c r="K150" s="1921"/>
    </row>
    <row r="151" spans="1:12" ht="15.75" thickBot="1">
      <c r="A151" s="1092"/>
      <c r="B151" s="1985"/>
      <c r="C151" s="1982"/>
      <c r="D151" s="1983" t="s">
        <v>42</v>
      </c>
      <c r="E151" s="1983"/>
      <c r="F151" s="1983"/>
      <c r="G151" s="1983"/>
      <c r="H151" s="2161"/>
      <c r="I151" s="1989"/>
      <c r="J151" s="1984"/>
      <c r="K151" s="1921"/>
    </row>
    <row r="152" spans="1:12" ht="15.75" thickBot="1">
      <c r="A152" s="1092"/>
      <c r="B152" s="1985"/>
      <c r="C152" s="2005" t="s">
        <v>10</v>
      </c>
      <c r="D152" s="2006" t="s">
        <v>11</v>
      </c>
      <c r="E152" s="2006" t="s">
        <v>12</v>
      </c>
      <c r="F152" s="2006" t="s">
        <v>13</v>
      </c>
      <c r="G152" s="2006" t="s">
        <v>14</v>
      </c>
      <c r="H152" s="2140" t="s">
        <v>1835</v>
      </c>
      <c r="I152" s="2008">
        <f>$G$17</f>
        <v>0.27</v>
      </c>
      <c r="J152" s="2007" t="s">
        <v>1834</v>
      </c>
      <c r="K152" s="1921"/>
    </row>
    <row r="153" spans="1:12">
      <c r="A153" s="1092"/>
      <c r="B153" s="1987"/>
      <c r="C153" s="2002" t="s">
        <v>1989</v>
      </c>
      <c r="D153" s="2003" t="s">
        <v>190</v>
      </c>
      <c r="E153" s="2004">
        <v>115</v>
      </c>
      <c r="F153" s="2003">
        <v>25</v>
      </c>
      <c r="G153" s="2004">
        <v>100</v>
      </c>
      <c r="H153" s="2154">
        <v>270.90909090909088</v>
      </c>
      <c r="I153" s="2115">
        <f>H153-H153*$I$152</f>
        <v>197.76363636363635</v>
      </c>
      <c r="J153" s="2118">
        <f>H153*0.8</f>
        <v>216.72727272727272</v>
      </c>
      <c r="K153" s="1921"/>
    </row>
    <row r="154" spans="1:12">
      <c r="A154" s="1092"/>
      <c r="B154" s="1987"/>
      <c r="C154" s="2043"/>
      <c r="D154" s="1996"/>
      <c r="E154" s="814"/>
      <c r="F154" s="814"/>
      <c r="G154" s="814"/>
      <c r="H154" s="1997"/>
      <c r="I154" s="1998"/>
      <c r="J154" s="1986"/>
      <c r="K154" s="1921"/>
    </row>
    <row r="155" spans="1:12">
      <c r="A155" s="1092"/>
      <c r="B155" s="1985"/>
      <c r="C155" s="1985"/>
      <c r="D155" s="1985"/>
      <c r="E155" s="1985"/>
      <c r="F155" s="1985"/>
      <c r="G155" s="1985"/>
      <c r="H155" s="2051"/>
      <c r="I155" s="1989"/>
      <c r="J155" s="1984" t="s">
        <v>1649</v>
      </c>
      <c r="K155" s="1921"/>
    </row>
    <row r="156" spans="1:12" ht="18.75">
      <c r="A156" s="1092"/>
      <c r="B156" s="1994" t="s">
        <v>2006</v>
      </c>
      <c r="C156" s="1973"/>
      <c r="D156" s="1973"/>
      <c r="E156" s="1983"/>
      <c r="F156" s="1983"/>
      <c r="G156" s="1945"/>
      <c r="H156" s="1984"/>
      <c r="I156" s="1947"/>
      <c r="J156" s="1995" t="s">
        <v>1780</v>
      </c>
      <c r="K156" s="1921"/>
    </row>
    <row r="157" spans="1:12" s="1340" customFormat="1">
      <c r="A157" s="1945"/>
      <c r="B157" s="1974" t="s">
        <v>1</v>
      </c>
      <c r="C157" s="1945"/>
      <c r="D157" s="1945"/>
      <c r="E157" s="1945"/>
      <c r="F157" s="1976"/>
      <c r="G157" s="1964"/>
      <c r="H157" s="1977"/>
      <c r="I157" s="1966"/>
      <c r="J157" s="1965" t="s">
        <v>1649</v>
      </c>
      <c r="K157" s="1921"/>
      <c r="L157" s="1920"/>
    </row>
    <row r="158" spans="1:12" s="1340" customFormat="1" ht="24.75" customHeight="1">
      <c r="A158" s="1945"/>
      <c r="B158" s="2197" t="s">
        <v>1804</v>
      </c>
      <c r="C158" s="2197"/>
      <c r="D158" s="2197"/>
      <c r="E158" s="2197"/>
      <c r="F158" s="2197"/>
      <c r="G158" s="2197"/>
      <c r="H158" s="2197"/>
      <c r="I158" s="2197"/>
      <c r="J158" s="2197"/>
      <c r="K158" s="1921"/>
      <c r="L158" s="1920"/>
    </row>
    <row r="159" spans="1:12" s="1340" customFormat="1" ht="12.75" customHeight="1">
      <c r="A159" s="1945"/>
      <c r="B159" s="1974" t="s">
        <v>2</v>
      </c>
      <c r="C159" s="1945"/>
      <c r="D159" s="1945"/>
      <c r="E159" s="1945"/>
      <c r="F159" s="1976"/>
      <c r="G159" s="1945"/>
      <c r="H159" s="1965"/>
      <c r="I159" s="1966"/>
      <c r="J159" s="1965" t="s">
        <v>1649</v>
      </c>
      <c r="K159" s="1921"/>
      <c r="L159" s="1920"/>
    </row>
    <row r="160" spans="1:12" s="1340" customFormat="1" ht="12.75" customHeight="1">
      <c r="A160" s="1945"/>
      <c r="B160" s="2029" t="s">
        <v>761</v>
      </c>
      <c r="C160" s="1975"/>
      <c r="D160" s="1945"/>
      <c r="E160" s="1945"/>
      <c r="F160" s="1976"/>
      <c r="G160" s="1945"/>
      <c r="H160" s="1965"/>
      <c r="I160" s="1966"/>
      <c r="J160" s="1965" t="s">
        <v>1649</v>
      </c>
      <c r="K160" s="1921"/>
      <c r="L160" s="1920"/>
    </row>
    <row r="161" spans="1:12" s="1340" customFormat="1" ht="12.75" customHeight="1">
      <c r="A161" s="1945"/>
      <c r="B161" s="2201" t="s">
        <v>762</v>
      </c>
      <c r="C161" s="2201"/>
      <c r="D161" s="2201"/>
      <c r="E161" s="2201"/>
      <c r="F161" s="2201"/>
      <c r="G161" s="1945"/>
      <c r="H161" s="1965"/>
      <c r="I161" s="1966"/>
      <c r="J161" s="1965" t="s">
        <v>1649</v>
      </c>
      <c r="K161" s="1921"/>
      <c r="L161" s="1920"/>
    </row>
    <row r="162" spans="1:12" s="1340" customFormat="1" ht="12.75" customHeight="1">
      <c r="A162" s="1945"/>
      <c r="B162" s="1974" t="s">
        <v>5</v>
      </c>
      <c r="C162" s="1945"/>
      <c r="D162" s="1945"/>
      <c r="E162" s="1945"/>
      <c r="F162" s="1976"/>
      <c r="G162" s="1945"/>
      <c r="H162" s="1965"/>
      <c r="I162" s="1966"/>
      <c r="J162" s="1965" t="s">
        <v>1649</v>
      </c>
      <c r="K162" s="1921"/>
      <c r="L162" s="1920"/>
    </row>
    <row r="163" spans="1:12" s="1340" customFormat="1" ht="12.75" customHeight="1">
      <c r="A163" s="1945"/>
      <c r="B163" s="2196" t="s">
        <v>1857</v>
      </c>
      <c r="C163" s="2196"/>
      <c r="D163" s="2196"/>
      <c r="E163" s="1945"/>
      <c r="F163" s="1976"/>
      <c r="G163" s="1945"/>
      <c r="H163" s="1965"/>
      <c r="I163" s="1966"/>
      <c r="J163" s="1965" t="s">
        <v>1649</v>
      </c>
      <c r="K163" s="1921"/>
      <c r="L163" s="1920"/>
    </row>
    <row r="164" spans="1:12" s="1340" customFormat="1" ht="12.75" customHeight="1">
      <c r="A164" s="1945"/>
      <c r="B164" s="2196" t="s">
        <v>786</v>
      </c>
      <c r="C164" s="2196"/>
      <c r="D164" s="2196"/>
      <c r="E164" s="2196"/>
      <c r="F164" s="2196"/>
      <c r="G164" s="2011"/>
      <c r="H164" s="2074"/>
      <c r="I164" s="1966"/>
      <c r="J164" s="1965" t="s">
        <v>1649</v>
      </c>
      <c r="K164" s="1921"/>
      <c r="L164" s="1920"/>
    </row>
    <row r="165" spans="1:12" s="1340" customFormat="1" ht="12.75" customHeight="1">
      <c r="A165" s="1945"/>
      <c r="B165" s="2029" t="s">
        <v>1856</v>
      </c>
      <c r="C165" s="1979"/>
      <c r="D165" s="1945"/>
      <c r="E165" s="1945"/>
      <c r="F165" s="1976"/>
      <c r="G165" s="1945"/>
      <c r="H165" s="1965"/>
      <c r="I165" s="1966"/>
      <c r="J165" s="1965" t="s">
        <v>1649</v>
      </c>
      <c r="K165" s="1921"/>
      <c r="L165" s="1920"/>
    </row>
    <row r="166" spans="1:12" s="1340" customFormat="1">
      <c r="A166" s="1945"/>
      <c r="B166" s="2029"/>
      <c r="C166" s="1945"/>
      <c r="D166" s="1945"/>
      <c r="E166" s="1945"/>
      <c r="F166" s="1945"/>
      <c r="G166" s="1945"/>
      <c r="H166" s="1965"/>
      <c r="I166" s="1966"/>
      <c r="J166" s="1965" t="s">
        <v>1649</v>
      </c>
      <c r="K166" s="1921"/>
      <c r="L166" s="1920"/>
    </row>
    <row r="167" spans="1:12">
      <c r="A167" s="1092"/>
      <c r="B167" s="1981" t="s">
        <v>1934</v>
      </c>
      <c r="C167" s="1983"/>
      <c r="D167" s="1982" t="s">
        <v>818</v>
      </c>
      <c r="E167" s="1983"/>
      <c r="F167" s="1983"/>
      <c r="G167" s="1983"/>
      <c r="H167" s="1984"/>
      <c r="I167" s="1989"/>
      <c r="J167" s="1984" t="s">
        <v>1649</v>
      </c>
      <c r="K167" s="1921"/>
    </row>
    <row r="168" spans="1:12" ht="15.75" thickBot="1">
      <c r="A168" s="1092"/>
      <c r="B168" s="1985"/>
      <c r="C168" s="1982"/>
      <c r="D168" s="1983" t="s">
        <v>31</v>
      </c>
      <c r="E168" s="1983"/>
      <c r="F168" s="1983"/>
      <c r="G168" s="1983"/>
      <c r="H168" s="1984"/>
      <c r="I168" s="1989"/>
      <c r="J168" s="1984" t="s">
        <v>1649</v>
      </c>
      <c r="K168" s="1921"/>
    </row>
    <row r="169" spans="1:12" ht="15.75" thickBot="1">
      <c r="A169" s="1092"/>
      <c r="B169" s="1985"/>
      <c r="C169" s="2005" t="s">
        <v>10</v>
      </c>
      <c r="D169" s="2006" t="s">
        <v>11</v>
      </c>
      <c r="E169" s="2006" t="s">
        <v>12</v>
      </c>
      <c r="F169" s="2006" t="s">
        <v>13</v>
      </c>
      <c r="G169" s="2006" t="s">
        <v>14</v>
      </c>
      <c r="H169" s="2140" t="s">
        <v>1835</v>
      </c>
      <c r="I169" s="2008">
        <f>$G$17</f>
        <v>0.27</v>
      </c>
      <c r="J169" s="2007" t="s">
        <v>1834</v>
      </c>
      <c r="K169" s="1921"/>
    </row>
    <row r="170" spans="1:12">
      <c r="A170" s="1092"/>
      <c r="B170" s="1985"/>
      <c r="C170" s="2002" t="s">
        <v>1935</v>
      </c>
      <c r="D170" s="2003" t="s">
        <v>190</v>
      </c>
      <c r="E170" s="2004">
        <v>108</v>
      </c>
      <c r="F170" s="2003">
        <v>80</v>
      </c>
      <c r="G170" s="2004">
        <v>320</v>
      </c>
      <c r="H170" s="2154">
        <v>236.36363636363635</v>
      </c>
      <c r="I170" s="2115">
        <f>H170-H170*$I$169</f>
        <v>172.54545454545453</v>
      </c>
      <c r="J170" s="2118">
        <f>H170*0.8</f>
        <v>189.09090909090909</v>
      </c>
      <c r="K170" s="1921"/>
    </row>
    <row r="171" spans="1:12" ht="15" customHeight="1">
      <c r="A171" s="1092"/>
      <c r="B171" s="1985"/>
      <c r="C171" s="1999" t="s">
        <v>1936</v>
      </c>
      <c r="D171" s="2000" t="s">
        <v>192</v>
      </c>
      <c r="E171" s="2001">
        <v>200</v>
      </c>
      <c r="F171" s="2000">
        <v>18</v>
      </c>
      <c r="G171" s="2001">
        <v>90</v>
      </c>
      <c r="H171" s="2155">
        <v>427.27272727272725</v>
      </c>
      <c r="I171" s="2115">
        <f t="shared" ref="I171:I173" si="16">H171-H171*$I$169</f>
        <v>311.90909090909088</v>
      </c>
      <c r="J171" s="2119">
        <f>H171*0.8</f>
        <v>341.81818181818181</v>
      </c>
      <c r="K171" s="1921"/>
    </row>
    <row r="172" spans="1:12">
      <c r="A172" s="1092"/>
      <c r="B172" s="1985"/>
      <c r="C172" s="2002" t="s">
        <v>1937</v>
      </c>
      <c r="D172" s="2003" t="s">
        <v>194</v>
      </c>
      <c r="E172" s="2004">
        <v>250</v>
      </c>
      <c r="F172" s="2003">
        <v>20</v>
      </c>
      <c r="G172" s="2004">
        <v>80</v>
      </c>
      <c r="H172" s="2154">
        <v>600</v>
      </c>
      <c r="I172" s="2115">
        <f t="shared" si="16"/>
        <v>438</v>
      </c>
      <c r="J172" s="2118">
        <f>H172*0.8</f>
        <v>480</v>
      </c>
      <c r="K172" s="1921"/>
    </row>
    <row r="173" spans="1:12" ht="16.149999999999999" customHeight="1">
      <c r="A173" s="1092"/>
      <c r="B173" s="1987"/>
      <c r="C173" s="1999" t="s">
        <v>1940</v>
      </c>
      <c r="D173" s="2000" t="s">
        <v>209</v>
      </c>
      <c r="E173" s="2001">
        <v>510</v>
      </c>
      <c r="F173" s="2000">
        <v>10</v>
      </c>
      <c r="G173" s="2001">
        <v>40</v>
      </c>
      <c r="H173" s="2155">
        <v>1254.5454545454545</v>
      </c>
      <c r="I173" s="2115">
        <f t="shared" si="16"/>
        <v>915.81818181818176</v>
      </c>
      <c r="J173" s="2119">
        <f>H173*0.8</f>
        <v>1003.6363636363636</v>
      </c>
      <c r="K173" s="1921"/>
    </row>
    <row r="174" spans="1:12">
      <c r="A174" s="1092"/>
      <c r="B174" s="1981" t="s">
        <v>1938</v>
      </c>
      <c r="C174" s="1092"/>
      <c r="D174" s="1991" t="s">
        <v>787</v>
      </c>
      <c r="E174" s="1991"/>
      <c r="F174" s="1991"/>
      <c r="G174" s="1991"/>
      <c r="H174" s="2177"/>
      <c r="I174" s="1997"/>
      <c r="J174" s="1986"/>
      <c r="K174" s="1921"/>
    </row>
    <row r="175" spans="1:12" ht="15.75" thickBot="1">
      <c r="A175" s="1092"/>
      <c r="B175" s="1985"/>
      <c r="C175" s="2054"/>
      <c r="D175" s="1983" t="s">
        <v>31</v>
      </c>
      <c r="E175" s="1983"/>
      <c r="F175" s="1983"/>
      <c r="G175" s="814"/>
      <c r="H175" s="2165"/>
      <c r="I175" s="2075"/>
      <c r="J175" s="1984" t="s">
        <v>1649</v>
      </c>
      <c r="K175" s="1921"/>
    </row>
    <row r="176" spans="1:12" ht="15.75" thickBot="1">
      <c r="A176" s="1092"/>
      <c r="B176" s="1985"/>
      <c r="C176" s="2005" t="s">
        <v>10</v>
      </c>
      <c r="D176" s="2006" t="s">
        <v>11</v>
      </c>
      <c r="E176" s="2006" t="s">
        <v>12</v>
      </c>
      <c r="F176" s="2006" t="s">
        <v>13</v>
      </c>
      <c r="G176" s="2006" t="s">
        <v>14</v>
      </c>
      <c r="H176" s="2140" t="s">
        <v>1835</v>
      </c>
      <c r="I176" s="2008">
        <f>$G$17</f>
        <v>0.27</v>
      </c>
      <c r="J176" s="2007" t="s">
        <v>1834</v>
      </c>
      <c r="K176" s="1921"/>
    </row>
    <row r="177" spans="1:12">
      <c r="A177" s="1092"/>
      <c r="B177" s="1985"/>
      <c r="C177" s="2002" t="s">
        <v>1941</v>
      </c>
      <c r="D177" s="2003" t="s">
        <v>190</v>
      </c>
      <c r="E177" s="2004">
        <v>260</v>
      </c>
      <c r="F177" s="2003">
        <v>18</v>
      </c>
      <c r="G177" s="2004">
        <v>90</v>
      </c>
      <c r="H177" s="2154">
        <v>634.5454545454545</v>
      </c>
      <c r="I177" s="2115">
        <f>H177-H177*$I$176</f>
        <v>463.21818181818179</v>
      </c>
      <c r="J177" s="2118">
        <f>H177*0.8</f>
        <v>507.63636363636363</v>
      </c>
      <c r="K177" s="1921"/>
    </row>
    <row r="178" spans="1:12">
      <c r="A178" s="1092"/>
      <c r="B178" s="1985"/>
      <c r="C178" s="1999" t="s">
        <v>1942</v>
      </c>
      <c r="D178" s="2000" t="s">
        <v>192</v>
      </c>
      <c r="E178" s="2001">
        <v>365</v>
      </c>
      <c r="F178" s="2000">
        <v>12</v>
      </c>
      <c r="G178" s="2001">
        <v>60</v>
      </c>
      <c r="H178" s="2155">
        <v>863.63636363636351</v>
      </c>
      <c r="I178" s="2115">
        <f>H178-H178*$I$176</f>
        <v>630.45454545454538</v>
      </c>
      <c r="J178" s="2119">
        <f>H178*0.8</f>
        <v>690.90909090909088</v>
      </c>
      <c r="K178" s="1921"/>
    </row>
    <row r="179" spans="1:12">
      <c r="A179" s="1092"/>
      <c r="B179" s="1985"/>
      <c r="C179" s="1985"/>
      <c r="D179" s="1985"/>
      <c r="E179" s="1985"/>
      <c r="F179" s="1985"/>
      <c r="G179" s="1985"/>
      <c r="H179" s="2051"/>
      <c r="I179" s="1989"/>
      <c r="J179" s="1984"/>
      <c r="K179" s="1921"/>
    </row>
    <row r="180" spans="1:12">
      <c r="A180" s="1092"/>
      <c r="B180" s="1985"/>
      <c r="C180" s="1985"/>
      <c r="D180" s="1985"/>
      <c r="E180" s="1985"/>
      <c r="F180" s="1985"/>
      <c r="G180" s="1985"/>
      <c r="H180" s="2051"/>
      <c r="I180" s="1989"/>
      <c r="J180" s="1984"/>
      <c r="K180" s="1921"/>
    </row>
    <row r="181" spans="1:12" ht="18.75">
      <c r="A181" s="1092"/>
      <c r="B181" s="1994" t="s">
        <v>2007</v>
      </c>
      <c r="C181" s="1973"/>
      <c r="D181" s="1944"/>
      <c r="E181" s="1927"/>
      <c r="F181" s="1927"/>
      <c r="G181" s="2052"/>
      <c r="H181" s="1928"/>
      <c r="I181" s="1947"/>
      <c r="J181" s="1995" t="s">
        <v>1780</v>
      </c>
      <c r="K181" s="1921"/>
    </row>
    <row r="182" spans="1:12" s="1340" customFormat="1">
      <c r="A182" s="1945"/>
      <c r="B182" s="1974" t="s">
        <v>1</v>
      </c>
      <c r="C182" s="1945"/>
      <c r="D182" s="1945"/>
      <c r="E182" s="1945"/>
      <c r="F182" s="1976"/>
      <c r="G182" s="1945"/>
      <c r="H182" s="1965"/>
      <c r="I182" s="1966"/>
      <c r="J182" s="1965" t="s">
        <v>1649</v>
      </c>
      <c r="K182" s="1921"/>
      <c r="L182" s="1920"/>
    </row>
    <row r="183" spans="1:12" s="1340" customFormat="1" ht="27" customHeight="1">
      <c r="A183" s="1945"/>
      <c r="B183" s="2208" t="s">
        <v>1839</v>
      </c>
      <c r="C183" s="2208"/>
      <c r="D183" s="2208"/>
      <c r="E183" s="2208"/>
      <c r="F183" s="2208"/>
      <c r="G183" s="2208"/>
      <c r="H183" s="2208"/>
      <c r="I183" s="2208"/>
      <c r="J183" s="2208"/>
      <c r="K183" s="1921"/>
      <c r="L183" s="1920"/>
    </row>
    <row r="184" spans="1:12" s="1340" customFormat="1">
      <c r="A184" s="1945"/>
      <c r="B184" s="1974" t="s">
        <v>2</v>
      </c>
      <c r="C184" s="1945"/>
      <c r="D184" s="1945"/>
      <c r="E184" s="1945"/>
      <c r="F184" s="1976"/>
      <c r="G184" s="1945"/>
      <c r="H184" s="1965"/>
      <c r="I184" s="1966"/>
      <c r="J184" s="1965" t="s">
        <v>1649</v>
      </c>
      <c r="K184" s="1921"/>
      <c r="L184" s="1920"/>
    </row>
    <row r="185" spans="1:12" s="1340" customFormat="1">
      <c r="A185" s="1945"/>
      <c r="B185" s="2029" t="s">
        <v>815</v>
      </c>
      <c r="C185" s="1975"/>
      <c r="D185" s="1945"/>
      <c r="E185" s="1945"/>
      <c r="F185" s="1976"/>
      <c r="G185" s="1945"/>
      <c r="H185" s="1965"/>
      <c r="I185" s="1966"/>
      <c r="J185" s="1965" t="s">
        <v>1649</v>
      </c>
      <c r="K185" s="1921"/>
      <c r="L185" s="1920"/>
    </row>
    <row r="186" spans="1:12" s="1340" customFormat="1">
      <c r="A186" s="1945"/>
      <c r="B186" s="2029" t="s">
        <v>816</v>
      </c>
      <c r="C186" s="1975"/>
      <c r="D186" s="1945"/>
      <c r="E186" s="1945"/>
      <c r="F186" s="1976"/>
      <c r="G186" s="1945"/>
      <c r="H186" s="1965"/>
      <c r="I186" s="1966"/>
      <c r="J186" s="1965" t="s">
        <v>1649</v>
      </c>
      <c r="K186" s="1921"/>
      <c r="L186" s="1920"/>
    </row>
    <row r="187" spans="1:12" s="1340" customFormat="1">
      <c r="A187" s="1945"/>
      <c r="B187" s="2029" t="s">
        <v>817</v>
      </c>
      <c r="C187" s="1945"/>
      <c r="D187" s="1945"/>
      <c r="E187" s="1945"/>
      <c r="F187" s="1976"/>
      <c r="G187" s="1945"/>
      <c r="H187" s="1965"/>
      <c r="I187" s="1966"/>
      <c r="J187" s="1965" t="s">
        <v>1649</v>
      </c>
      <c r="K187" s="1921"/>
      <c r="L187" s="1920"/>
    </row>
    <row r="188" spans="1:12">
      <c r="A188" s="1092"/>
      <c r="B188" s="1981" t="s">
        <v>1933</v>
      </c>
      <c r="C188" s="2050"/>
      <c r="D188" s="1982" t="s">
        <v>808</v>
      </c>
      <c r="E188" s="1991"/>
      <c r="F188" s="1991"/>
      <c r="G188" s="1945"/>
      <c r="H188" s="1984"/>
      <c r="I188" s="1947"/>
      <c r="J188" s="1946" t="s">
        <v>1649</v>
      </c>
      <c r="K188" s="1921"/>
    </row>
    <row r="189" spans="1:12">
      <c r="A189" s="1092"/>
      <c r="B189" s="1985"/>
      <c r="C189" s="1982"/>
      <c r="D189" s="1983" t="s">
        <v>31</v>
      </c>
      <c r="E189" s="1983"/>
      <c r="F189" s="1983"/>
      <c r="G189" s="1945"/>
      <c r="H189" s="1984"/>
      <c r="I189" s="1947"/>
      <c r="J189" s="1946" t="s">
        <v>1649</v>
      </c>
      <c r="K189" s="1921"/>
    </row>
    <row r="190" spans="1:12" s="1340" customFormat="1">
      <c r="A190" s="1945"/>
      <c r="B190" s="1974" t="s">
        <v>5</v>
      </c>
      <c r="C190" s="1945"/>
      <c r="D190" s="1945"/>
      <c r="E190" s="1945"/>
      <c r="F190" s="1976"/>
      <c r="G190" s="2022"/>
      <c r="H190" s="1965"/>
      <c r="I190" s="1966"/>
      <c r="J190" s="1965" t="s">
        <v>1649</v>
      </c>
      <c r="K190" s="1921"/>
      <c r="L190" s="1920"/>
    </row>
    <row r="191" spans="1:12" s="1340" customFormat="1">
      <c r="A191" s="1945"/>
      <c r="B191" s="1978" t="s">
        <v>805</v>
      </c>
      <c r="C191" s="1975"/>
      <c r="D191" s="1945"/>
      <c r="E191" s="1945"/>
      <c r="F191" s="1976"/>
      <c r="G191" s="2022"/>
      <c r="H191" s="1965"/>
      <c r="I191" s="1966"/>
      <c r="J191" s="1965" t="s">
        <v>1649</v>
      </c>
      <c r="K191" s="1921"/>
      <c r="L191" s="1920"/>
    </row>
    <row r="192" spans="1:12" s="1340" customFormat="1" ht="15.75" thickBot="1">
      <c r="A192" s="1945"/>
      <c r="B192" s="2196" t="s">
        <v>806</v>
      </c>
      <c r="C192" s="2196"/>
      <c r="D192" s="2196"/>
      <c r="E192" s="2196"/>
      <c r="F192" s="2196"/>
      <c r="G192" s="2196"/>
      <c r="H192" s="1965"/>
      <c r="I192" s="1966"/>
      <c r="J192" s="1965" t="s">
        <v>1649</v>
      </c>
      <c r="K192" s="1921"/>
      <c r="L192" s="1920"/>
    </row>
    <row r="193" spans="1:12" ht="15.75" thickBot="1">
      <c r="A193" s="1092"/>
      <c r="B193" s="1985"/>
      <c r="C193" s="2005" t="s">
        <v>10</v>
      </c>
      <c r="D193" s="2006" t="s">
        <v>11</v>
      </c>
      <c r="E193" s="2006" t="s">
        <v>12</v>
      </c>
      <c r="F193" s="2006" t="s">
        <v>13</v>
      </c>
      <c r="G193" s="2006" t="s">
        <v>14</v>
      </c>
      <c r="H193" s="2140" t="s">
        <v>1835</v>
      </c>
      <c r="I193" s="2008">
        <f>$G$17</f>
        <v>0.27</v>
      </c>
      <c r="J193" s="2007" t="s">
        <v>1834</v>
      </c>
      <c r="K193" s="1921"/>
    </row>
    <row r="194" spans="1:12">
      <c r="A194" s="1092"/>
      <c r="B194" s="1985"/>
      <c r="C194" s="2002" t="s">
        <v>1973</v>
      </c>
      <c r="D194" s="2003" t="s">
        <v>190</v>
      </c>
      <c r="E194" s="2004">
        <v>125</v>
      </c>
      <c r="F194" s="2003">
        <v>60</v>
      </c>
      <c r="G194" s="2004">
        <v>240</v>
      </c>
      <c r="H194" s="2154">
        <v>296.36363636363632</v>
      </c>
      <c r="I194" s="2115">
        <f>H194-H194*$I$193</f>
        <v>216.34545454545452</v>
      </c>
      <c r="J194" s="2103">
        <f>H194*0.8</f>
        <v>237.09090909090907</v>
      </c>
      <c r="K194" s="1921"/>
    </row>
    <row r="195" spans="1:12">
      <c r="A195" s="1092"/>
      <c r="B195" s="1985"/>
      <c r="C195" s="1999" t="s">
        <v>1974</v>
      </c>
      <c r="D195" s="2000" t="s">
        <v>192</v>
      </c>
      <c r="E195" s="2001">
        <v>165</v>
      </c>
      <c r="F195" s="2000">
        <v>50</v>
      </c>
      <c r="G195" s="2001">
        <v>200</v>
      </c>
      <c r="H195" s="2155">
        <v>405.45454545454544</v>
      </c>
      <c r="I195" s="2115">
        <f t="shared" ref="I195:I197" si="17">H195-H195*$I$193</f>
        <v>295.9818181818182</v>
      </c>
      <c r="J195" s="2104">
        <f>H195*0.8</f>
        <v>324.36363636363637</v>
      </c>
      <c r="K195" s="1921"/>
    </row>
    <row r="196" spans="1:12" ht="15.6" customHeight="1">
      <c r="A196" s="1092"/>
      <c r="B196" s="1987"/>
      <c r="C196" s="2002" t="s">
        <v>1975</v>
      </c>
      <c r="D196" s="2003" t="s">
        <v>194</v>
      </c>
      <c r="E196" s="2004">
        <v>265</v>
      </c>
      <c r="F196" s="2003">
        <v>30</v>
      </c>
      <c r="G196" s="2004">
        <v>120</v>
      </c>
      <c r="H196" s="2154">
        <v>654.5454545454545</v>
      </c>
      <c r="I196" s="2115">
        <f t="shared" si="17"/>
        <v>477.81818181818176</v>
      </c>
      <c r="J196" s="2103">
        <f>H196*0.8</f>
        <v>523.63636363636363</v>
      </c>
      <c r="K196" s="1921"/>
    </row>
    <row r="197" spans="1:12">
      <c r="A197" s="1092"/>
      <c r="B197" s="1985"/>
      <c r="C197" s="1999" t="s">
        <v>1976</v>
      </c>
      <c r="D197" s="2000" t="s">
        <v>209</v>
      </c>
      <c r="E197" s="2001">
        <v>380</v>
      </c>
      <c r="F197" s="2000">
        <v>15</v>
      </c>
      <c r="G197" s="2001">
        <v>60</v>
      </c>
      <c r="H197" s="2155">
        <v>990.90909090909088</v>
      </c>
      <c r="I197" s="2115">
        <f t="shared" si="17"/>
        <v>723.36363636363626</v>
      </c>
      <c r="J197" s="2104">
        <f>H197*0.8</f>
        <v>792.72727272727275</v>
      </c>
      <c r="K197" s="1921"/>
    </row>
    <row r="198" spans="1:12">
      <c r="A198" s="1092"/>
      <c r="B198" s="1985"/>
      <c r="C198" s="1092"/>
      <c r="D198" s="1944"/>
      <c r="E198" s="1983"/>
      <c r="F198" s="1983"/>
      <c r="G198" s="1945"/>
      <c r="H198" s="1984"/>
      <c r="I198" s="1947"/>
      <c r="J198" s="1946" t="s">
        <v>1649</v>
      </c>
      <c r="K198" s="1921"/>
    </row>
    <row r="199" spans="1:12" ht="18.75">
      <c r="A199" s="1092"/>
      <c r="B199" s="1994" t="s">
        <v>2008</v>
      </c>
      <c r="C199" s="1973"/>
      <c r="D199" s="1973"/>
      <c r="E199" s="1983"/>
      <c r="F199" s="1983"/>
      <c r="G199" s="1983"/>
      <c r="H199" s="1984"/>
      <c r="I199" s="1989"/>
      <c r="J199" s="1995" t="s">
        <v>1780</v>
      </c>
      <c r="K199" s="1921"/>
    </row>
    <row r="200" spans="1:12" s="1340" customFormat="1">
      <c r="A200" s="1945"/>
      <c r="B200" s="1974" t="s">
        <v>1</v>
      </c>
      <c r="C200" s="1976"/>
      <c r="D200" s="1945"/>
      <c r="E200" s="1945"/>
      <c r="F200" s="1945"/>
      <c r="G200" s="1964"/>
      <c r="H200" s="1977"/>
      <c r="I200" s="1966"/>
      <c r="J200" s="1965" t="s">
        <v>1649</v>
      </c>
      <c r="K200" s="1921"/>
      <c r="L200" s="1920"/>
    </row>
    <row r="201" spans="1:12" s="1340" customFormat="1" ht="24.75" customHeight="1">
      <c r="A201" s="1945"/>
      <c r="B201" s="2192" t="s">
        <v>561</v>
      </c>
      <c r="C201" s="2192"/>
      <c r="D201" s="2192"/>
      <c r="E201" s="2192"/>
      <c r="F201" s="2192"/>
      <c r="G201" s="2192"/>
      <c r="H201" s="2192"/>
      <c r="I201" s="2192"/>
      <c r="J201" s="2192"/>
      <c r="K201" s="1921"/>
      <c r="L201" s="1920"/>
    </row>
    <row r="202" spans="1:12" s="1340" customFormat="1">
      <c r="A202" s="1945"/>
      <c r="B202" s="1974" t="s">
        <v>2</v>
      </c>
      <c r="C202" s="1945"/>
      <c r="D202" s="1945"/>
      <c r="E202" s="1945"/>
      <c r="F202" s="1945"/>
      <c r="G202" s="1945"/>
      <c r="H202" s="1965"/>
      <c r="I202" s="1966"/>
      <c r="J202" s="1965" t="s">
        <v>1649</v>
      </c>
      <c r="K202" s="1921"/>
      <c r="L202" s="1920"/>
    </row>
    <row r="203" spans="1:12" s="1340" customFormat="1" ht="13.5" customHeight="1">
      <c r="A203" s="1945"/>
      <c r="B203" s="2029" t="s">
        <v>3</v>
      </c>
      <c r="C203" s="1975"/>
      <c r="D203" s="1945"/>
      <c r="E203" s="1945"/>
      <c r="F203" s="1945"/>
      <c r="G203" s="1945"/>
      <c r="H203" s="1965"/>
      <c r="I203" s="1966"/>
      <c r="J203" s="1965" t="s">
        <v>1649</v>
      </c>
      <c r="K203" s="1921"/>
      <c r="L203" s="1920"/>
    </row>
    <row r="204" spans="1:12" s="1340" customFormat="1">
      <c r="A204" s="1945"/>
      <c r="B204" s="2029" t="s">
        <v>1789</v>
      </c>
      <c r="C204" s="1945"/>
      <c r="D204" s="1945"/>
      <c r="E204" s="1945"/>
      <c r="F204" s="1945"/>
      <c r="G204" s="1945"/>
      <c r="H204" s="1965"/>
      <c r="I204" s="1966"/>
      <c r="J204" s="1965" t="s">
        <v>1649</v>
      </c>
      <c r="K204" s="1921"/>
      <c r="L204" s="1920"/>
    </row>
    <row r="205" spans="1:12" s="1340" customFormat="1">
      <c r="A205" s="1945"/>
      <c r="B205" s="2029" t="s">
        <v>4</v>
      </c>
      <c r="C205" s="1945"/>
      <c r="D205" s="1945"/>
      <c r="E205" s="1945"/>
      <c r="F205" s="1945"/>
      <c r="G205" s="1945"/>
      <c r="H205" s="1965"/>
      <c r="I205" s="1966"/>
      <c r="J205" s="1965" t="s">
        <v>1649</v>
      </c>
      <c r="K205" s="1921"/>
      <c r="L205" s="1920"/>
    </row>
    <row r="206" spans="1:12" s="1340" customFormat="1">
      <c r="A206" s="1945"/>
      <c r="B206" s="2029" t="s">
        <v>752</v>
      </c>
      <c r="C206" s="1945"/>
      <c r="D206" s="1945"/>
      <c r="E206" s="1945"/>
      <c r="F206" s="1945"/>
      <c r="G206" s="1945"/>
      <c r="H206" s="1965"/>
      <c r="I206" s="1966"/>
      <c r="J206" s="1965" t="s">
        <v>1649</v>
      </c>
      <c r="K206" s="1921"/>
      <c r="L206" s="1920"/>
    </row>
    <row r="207" spans="1:12" s="1340" customFormat="1">
      <c r="A207" s="1945"/>
      <c r="B207" s="1974" t="s">
        <v>5</v>
      </c>
      <c r="C207" s="1945"/>
      <c r="D207" s="1945"/>
      <c r="E207" s="1945"/>
      <c r="F207" s="1945"/>
      <c r="G207" s="1945"/>
      <c r="H207" s="1965"/>
      <c r="I207" s="1966"/>
      <c r="J207" s="1965" t="s">
        <v>1649</v>
      </c>
      <c r="K207" s="1921"/>
      <c r="L207" s="1920"/>
    </row>
    <row r="208" spans="1:12" s="1340" customFormat="1" ht="12" customHeight="1">
      <c r="A208" s="1945"/>
      <c r="B208" s="1978" t="s">
        <v>6</v>
      </c>
      <c r="C208" s="1975"/>
      <c r="D208" s="1945"/>
      <c r="E208" s="1945"/>
      <c r="F208" s="1945"/>
      <c r="G208" s="1945"/>
      <c r="H208" s="1965"/>
      <c r="I208" s="1966"/>
      <c r="J208" s="1965" t="s">
        <v>1649</v>
      </c>
      <c r="K208" s="1921"/>
      <c r="L208" s="1920"/>
    </row>
    <row r="209" spans="1:12" s="1340" customFormat="1" ht="12" customHeight="1">
      <c r="A209" s="1945"/>
      <c r="B209" s="1978" t="s">
        <v>599</v>
      </c>
      <c r="C209" s="1979"/>
      <c r="D209" s="1945"/>
      <c r="E209" s="1945"/>
      <c r="F209" s="1945"/>
      <c r="G209" s="1945"/>
      <c r="H209" s="1965"/>
      <c r="I209" s="1966"/>
      <c r="J209" s="1965" t="s">
        <v>1649</v>
      </c>
      <c r="K209" s="1921"/>
      <c r="L209" s="1920"/>
    </row>
    <row r="210" spans="1:12" ht="12" customHeight="1">
      <c r="A210" s="1092"/>
      <c r="B210" s="1978"/>
      <c r="C210" s="1979"/>
      <c r="D210" s="1944"/>
      <c r="E210" s="1945"/>
      <c r="F210" s="1945"/>
      <c r="G210" s="1945"/>
      <c r="H210" s="1965"/>
      <c r="I210" s="1947"/>
      <c r="J210" s="1946"/>
      <c r="K210" s="1921"/>
    </row>
    <row r="211" spans="1:12">
      <c r="A211" s="1092"/>
      <c r="B211" s="1981" t="s">
        <v>913</v>
      </c>
      <c r="C211" s="2050"/>
      <c r="D211" s="1982" t="s">
        <v>8</v>
      </c>
      <c r="E211" s="1983"/>
      <c r="F211" s="1983"/>
      <c r="G211" s="1983"/>
      <c r="H211" s="1984"/>
      <c r="I211" s="1989"/>
      <c r="J211" s="1984" t="s">
        <v>1649</v>
      </c>
      <c r="K211" s="1921"/>
    </row>
    <row r="212" spans="1:12" ht="15.75" thickBot="1">
      <c r="A212" s="1092"/>
      <c r="B212" s="1985"/>
      <c r="C212" s="1982"/>
      <c r="D212" s="1983" t="s">
        <v>9</v>
      </c>
      <c r="E212" s="1983"/>
      <c r="F212" s="1983"/>
      <c r="G212" s="1983"/>
      <c r="H212" s="1984"/>
      <c r="I212" s="1989"/>
      <c r="J212" s="1984" t="s">
        <v>1649</v>
      </c>
      <c r="K212" s="1921"/>
    </row>
    <row r="213" spans="1:12" ht="15.75" thickBot="1">
      <c r="A213" s="1092"/>
      <c r="B213" s="1985"/>
      <c r="C213" s="2005" t="s">
        <v>10</v>
      </c>
      <c r="D213" s="2006" t="s">
        <v>11</v>
      </c>
      <c r="E213" s="2006" t="s">
        <v>12</v>
      </c>
      <c r="F213" s="2006" t="s">
        <v>13</v>
      </c>
      <c r="G213" s="2006" t="s">
        <v>14</v>
      </c>
      <c r="H213" s="2125" t="s">
        <v>1835</v>
      </c>
      <c r="I213" s="2008">
        <f>$G$17</f>
        <v>0.27</v>
      </c>
      <c r="J213" s="2007" t="s">
        <v>1834</v>
      </c>
      <c r="K213" s="1921"/>
    </row>
    <row r="214" spans="1:12">
      <c r="A214" s="1092"/>
      <c r="B214" s="1987"/>
      <c r="C214" s="2002" t="s">
        <v>189</v>
      </c>
      <c r="D214" s="2003" t="s">
        <v>190</v>
      </c>
      <c r="E214" s="2004">
        <v>70</v>
      </c>
      <c r="F214" s="2003">
        <v>10</v>
      </c>
      <c r="G214" s="2004">
        <v>180</v>
      </c>
      <c r="H214" s="2154">
        <v>139.09090909090909</v>
      </c>
      <c r="I214" s="2115">
        <f t="shared" ref="I214:I218" si="18">H214-H214*$I$213</f>
        <v>101.53636363636363</v>
      </c>
      <c r="J214" s="2103">
        <f>H214*0.8</f>
        <v>111.27272727272728</v>
      </c>
      <c r="K214" s="1921"/>
    </row>
    <row r="215" spans="1:12">
      <c r="A215" s="1092"/>
      <c r="B215" s="1985"/>
      <c r="C215" s="1999" t="s">
        <v>191</v>
      </c>
      <c r="D215" s="2000" t="s">
        <v>192</v>
      </c>
      <c r="E215" s="2001">
        <v>115</v>
      </c>
      <c r="F215" s="2000">
        <v>8</v>
      </c>
      <c r="G215" s="2001">
        <v>120</v>
      </c>
      <c r="H215" s="2155">
        <v>243.81818181818178</v>
      </c>
      <c r="I215" s="2115">
        <f t="shared" si="18"/>
        <v>177.98727272727268</v>
      </c>
      <c r="J215" s="2104">
        <f>H215*0.8</f>
        <v>195.05454545454543</v>
      </c>
      <c r="K215" s="1921"/>
    </row>
    <row r="216" spans="1:12">
      <c r="A216" s="1092"/>
      <c r="B216" s="1985"/>
      <c r="C216" s="2002" t="s">
        <v>193</v>
      </c>
      <c r="D216" s="2003" t="s">
        <v>194</v>
      </c>
      <c r="E216" s="2004">
        <v>170</v>
      </c>
      <c r="F216" s="2003">
        <v>8</v>
      </c>
      <c r="G216" s="2004">
        <v>80</v>
      </c>
      <c r="H216" s="2154">
        <v>386.67272727272729</v>
      </c>
      <c r="I216" s="2115">
        <f t="shared" si="18"/>
        <v>282.2710909090909</v>
      </c>
      <c r="J216" s="2103">
        <f>H216*0.8</f>
        <v>309.33818181818185</v>
      </c>
      <c r="K216" s="1921"/>
    </row>
    <row r="217" spans="1:12">
      <c r="A217" s="1092"/>
      <c r="B217" s="1985"/>
      <c r="C217" s="1999" t="s">
        <v>1638</v>
      </c>
      <c r="D217" s="2000" t="s">
        <v>695</v>
      </c>
      <c r="E217" s="2001">
        <v>280</v>
      </c>
      <c r="F217" s="2000">
        <v>10</v>
      </c>
      <c r="G217" s="2001">
        <v>30</v>
      </c>
      <c r="H217" s="2155">
        <v>620.18181818181813</v>
      </c>
      <c r="I217" s="2115">
        <f t="shared" si="18"/>
        <v>452.73272727272723</v>
      </c>
      <c r="J217" s="2104">
        <f>H217*0.8</f>
        <v>496.14545454545453</v>
      </c>
      <c r="K217" s="1921"/>
    </row>
    <row r="218" spans="1:12">
      <c r="A218" s="1092"/>
      <c r="B218" s="1985"/>
      <c r="C218" s="2002" t="s">
        <v>859</v>
      </c>
      <c r="D218" s="2003" t="s">
        <v>696</v>
      </c>
      <c r="E218" s="2004">
        <v>450</v>
      </c>
      <c r="F218" s="2003">
        <v>1</v>
      </c>
      <c r="G218" s="2004">
        <v>23</v>
      </c>
      <c r="H218" s="2154">
        <v>916.36363636363626</v>
      </c>
      <c r="I218" s="2115">
        <f t="shared" si="18"/>
        <v>668.94545454545448</v>
      </c>
      <c r="J218" s="2103">
        <f>H218*0.8</f>
        <v>733.09090909090901</v>
      </c>
      <c r="K218" s="1921"/>
    </row>
    <row r="219" spans="1:12">
      <c r="A219" s="1092"/>
      <c r="B219" s="1981" t="s">
        <v>913</v>
      </c>
      <c r="C219" s="1983"/>
      <c r="D219" s="1982" t="s">
        <v>17</v>
      </c>
      <c r="E219" s="1983"/>
      <c r="F219" s="1983"/>
      <c r="G219" s="1983"/>
      <c r="H219" s="2174"/>
      <c r="I219" s="2124"/>
      <c r="J219" s="1984"/>
      <c r="K219" s="1921"/>
    </row>
    <row r="220" spans="1:12" ht="15.75" thickBot="1">
      <c r="A220" s="1092"/>
      <c r="B220" s="1985"/>
      <c r="C220" s="1982"/>
      <c r="D220" s="1983" t="s">
        <v>9</v>
      </c>
      <c r="E220" s="1983"/>
      <c r="F220" s="1983"/>
      <c r="G220" s="1983"/>
      <c r="H220" s="2174"/>
      <c r="I220" s="2124"/>
      <c r="J220" s="1984"/>
      <c r="K220" s="1921"/>
    </row>
    <row r="221" spans="1:12" ht="15.75" thickBot="1">
      <c r="A221" s="1092"/>
      <c r="B221" s="1985"/>
      <c r="C221" s="2005" t="s">
        <v>10</v>
      </c>
      <c r="D221" s="2006" t="s">
        <v>11</v>
      </c>
      <c r="E221" s="2006" t="s">
        <v>12</v>
      </c>
      <c r="F221" s="2006" t="s">
        <v>13</v>
      </c>
      <c r="G221" s="2006" t="s">
        <v>14</v>
      </c>
      <c r="H221" s="2125" t="s">
        <v>1835</v>
      </c>
      <c r="I221" s="2153">
        <f>$G$17</f>
        <v>0.27</v>
      </c>
      <c r="J221" s="2007" t="s">
        <v>1834</v>
      </c>
      <c r="K221" s="1921"/>
    </row>
    <row r="222" spans="1:12">
      <c r="A222" s="1092"/>
      <c r="B222" s="1985"/>
      <c r="C222" s="2002" t="s">
        <v>195</v>
      </c>
      <c r="D222" s="2003" t="s">
        <v>196</v>
      </c>
      <c r="E222" s="2004">
        <v>132</v>
      </c>
      <c r="F222" s="2003">
        <v>8</v>
      </c>
      <c r="G222" s="2004">
        <v>120</v>
      </c>
      <c r="H222" s="2154">
        <v>292.90909090909088</v>
      </c>
      <c r="I222" s="2115">
        <f>H222-H222*$I$221</f>
        <v>213.82363636363635</v>
      </c>
      <c r="J222" s="2103">
        <f>H222*0.8</f>
        <v>234.32727272727271</v>
      </c>
      <c r="K222" s="1921"/>
    </row>
    <row r="223" spans="1:12">
      <c r="A223" s="1092"/>
      <c r="B223" s="1985"/>
      <c r="C223" s="1999" t="s">
        <v>197</v>
      </c>
      <c r="D223" s="2000" t="s">
        <v>198</v>
      </c>
      <c r="E223" s="2001">
        <v>150</v>
      </c>
      <c r="F223" s="2000">
        <v>8</v>
      </c>
      <c r="G223" s="2001">
        <v>80</v>
      </c>
      <c r="H223" s="2155">
        <v>327.27272727272725</v>
      </c>
      <c r="I223" s="2115">
        <f>H223-H223*$I$221</f>
        <v>238.90909090909088</v>
      </c>
      <c r="J223" s="2104">
        <f>H223*0.8</f>
        <v>261.81818181818181</v>
      </c>
      <c r="K223" s="1921"/>
    </row>
    <row r="224" spans="1:12">
      <c r="A224" s="1092"/>
      <c r="B224" s="1987"/>
      <c r="C224" s="2002" t="s">
        <v>199</v>
      </c>
      <c r="D224" s="2003" t="s">
        <v>200</v>
      </c>
      <c r="E224" s="2004">
        <v>170</v>
      </c>
      <c r="F224" s="2003">
        <v>8</v>
      </c>
      <c r="G224" s="2004">
        <v>80</v>
      </c>
      <c r="H224" s="2154">
        <v>363.63636363636363</v>
      </c>
      <c r="I224" s="2115">
        <f>H224-H224*$I$221</f>
        <v>265.45454545454544</v>
      </c>
      <c r="J224" s="2103">
        <f>H224*0.8</f>
        <v>290.90909090909093</v>
      </c>
      <c r="K224" s="1921"/>
    </row>
    <row r="225" spans="1:11">
      <c r="A225" s="1092"/>
      <c r="B225" s="1985"/>
      <c r="C225" s="1999" t="s">
        <v>203</v>
      </c>
      <c r="D225" s="2000" t="s">
        <v>204</v>
      </c>
      <c r="E225" s="2001">
        <v>286</v>
      </c>
      <c r="F225" s="2000">
        <v>5</v>
      </c>
      <c r="G225" s="2001">
        <v>30</v>
      </c>
      <c r="H225" s="2155">
        <v>670.90909090909088</v>
      </c>
      <c r="I225" s="2115">
        <f>H225-H225*$I$221</f>
        <v>489.76363636363635</v>
      </c>
      <c r="J225" s="2104">
        <f>H225*0.8</f>
        <v>536.72727272727275</v>
      </c>
      <c r="K225" s="1921"/>
    </row>
    <row r="226" spans="1:11">
      <c r="A226" s="1092"/>
      <c r="B226" s="1987"/>
      <c r="C226" s="2002" t="s">
        <v>869</v>
      </c>
      <c r="D226" s="2003" t="s">
        <v>868</v>
      </c>
      <c r="E226" s="2004">
        <v>260</v>
      </c>
      <c r="F226" s="2003">
        <v>5</v>
      </c>
      <c r="G226" s="2004">
        <v>30</v>
      </c>
      <c r="H226" s="2154">
        <v>606.43636363636358</v>
      </c>
      <c r="I226" s="2115">
        <f>H226-H226*$I$221</f>
        <v>442.69854545454541</v>
      </c>
      <c r="J226" s="2103">
        <f>H226*0.8</f>
        <v>485.14909090909089</v>
      </c>
      <c r="K226" s="1921"/>
    </row>
    <row r="227" spans="1:11">
      <c r="A227" s="1092"/>
      <c r="B227" s="1981" t="s">
        <v>703</v>
      </c>
      <c r="C227" s="1983"/>
      <c r="D227" s="1982" t="s">
        <v>704</v>
      </c>
      <c r="E227" s="1983"/>
      <c r="F227" s="1983"/>
      <c r="G227" s="1983"/>
      <c r="H227" s="2174"/>
      <c r="I227" s="2124"/>
      <c r="J227" s="1984"/>
      <c r="K227" s="1921"/>
    </row>
    <row r="228" spans="1:11" ht="15.75" thickBot="1">
      <c r="A228" s="1092"/>
      <c r="B228" s="1985"/>
      <c r="C228" s="1983"/>
      <c r="D228" s="1983" t="s">
        <v>9</v>
      </c>
      <c r="E228" s="1983"/>
      <c r="F228" s="1983"/>
      <c r="G228" s="1983"/>
      <c r="H228" s="2174"/>
      <c r="I228" s="2124"/>
      <c r="J228" s="1984"/>
      <c r="K228" s="1921"/>
    </row>
    <row r="229" spans="1:11" ht="15.75" thickBot="1">
      <c r="A229" s="1092"/>
      <c r="B229" s="1985"/>
      <c r="C229" s="2005" t="s">
        <v>10</v>
      </c>
      <c r="D229" s="2006" t="s">
        <v>11</v>
      </c>
      <c r="E229" s="2006" t="s">
        <v>12</v>
      </c>
      <c r="F229" s="2006" t="s">
        <v>13</v>
      </c>
      <c r="G229" s="2006" t="s">
        <v>14</v>
      </c>
      <c r="H229" s="2125" t="s">
        <v>1835</v>
      </c>
      <c r="I229" s="2153">
        <f>$G$17</f>
        <v>0.27</v>
      </c>
      <c r="J229" s="2007" t="s">
        <v>1834</v>
      </c>
      <c r="K229" s="1921"/>
    </row>
    <row r="230" spans="1:11">
      <c r="A230" s="1092"/>
      <c r="B230" s="1985"/>
      <c r="C230" s="2002" t="s">
        <v>1687</v>
      </c>
      <c r="D230" s="2003" t="s">
        <v>190</v>
      </c>
      <c r="E230" s="2004">
        <v>116</v>
      </c>
      <c r="F230" s="2003">
        <v>10</v>
      </c>
      <c r="G230" s="2004">
        <v>120</v>
      </c>
      <c r="H230" s="2166">
        <v>130</v>
      </c>
      <c r="I230" s="2188" t="s">
        <v>1998</v>
      </c>
      <c r="J230" s="2188"/>
      <c r="K230" s="1921"/>
    </row>
    <row r="231" spans="1:11">
      <c r="A231" s="1092"/>
      <c r="B231" s="1985"/>
      <c r="C231" s="1999" t="s">
        <v>1686</v>
      </c>
      <c r="D231" s="2000" t="s">
        <v>192</v>
      </c>
      <c r="E231" s="2001">
        <v>167</v>
      </c>
      <c r="F231" s="2000">
        <v>10</v>
      </c>
      <c r="G231" s="2001">
        <v>100</v>
      </c>
      <c r="H231" s="2155">
        <v>343.63636363636363</v>
      </c>
      <c r="I231" s="2115">
        <f>H231-H231*$I$213</f>
        <v>250.85454545454544</v>
      </c>
      <c r="J231" s="2104">
        <f>H231*0.8</f>
        <v>274.90909090909093</v>
      </c>
      <c r="K231" s="1921"/>
    </row>
    <row r="232" spans="1:11">
      <c r="A232" s="1092"/>
      <c r="B232" s="1985"/>
      <c r="C232" s="2002" t="s">
        <v>858</v>
      </c>
      <c r="D232" s="2003" t="s">
        <v>695</v>
      </c>
      <c r="E232" s="2004">
        <v>480</v>
      </c>
      <c r="F232" s="2003">
        <v>5</v>
      </c>
      <c r="G232" s="2004">
        <v>25</v>
      </c>
      <c r="H232" s="2166">
        <v>360</v>
      </c>
      <c r="I232" s="2188" t="s">
        <v>1825</v>
      </c>
      <c r="J232" s="2188"/>
      <c r="K232" s="1921"/>
    </row>
    <row r="233" spans="1:11">
      <c r="A233" s="1092"/>
      <c r="B233" s="1985"/>
      <c r="C233" s="1999" t="s">
        <v>860</v>
      </c>
      <c r="D233" s="2000" t="s">
        <v>696</v>
      </c>
      <c r="E233" s="2001">
        <v>620</v>
      </c>
      <c r="F233" s="2000">
        <v>1</v>
      </c>
      <c r="G233" s="2001">
        <v>15</v>
      </c>
      <c r="H233" s="2179">
        <v>465</v>
      </c>
      <c r="I233" s="2188" t="s">
        <v>1825</v>
      </c>
      <c r="J233" s="2188"/>
      <c r="K233" s="1921"/>
    </row>
    <row r="234" spans="1:11">
      <c r="A234" s="1092"/>
      <c r="B234" s="1981" t="s">
        <v>18</v>
      </c>
      <c r="C234" s="1983"/>
      <c r="D234" s="1982" t="s">
        <v>19</v>
      </c>
      <c r="E234" s="1983"/>
      <c r="F234" s="1983"/>
      <c r="G234" s="1983"/>
      <c r="H234" s="2174"/>
      <c r="I234" s="1989"/>
      <c r="J234" s="1984"/>
      <c r="K234" s="1921"/>
    </row>
    <row r="235" spans="1:11" ht="15.75" thickBot="1">
      <c r="A235" s="1092"/>
      <c r="B235" s="1985"/>
      <c r="C235" s="1982"/>
      <c r="D235" s="1983" t="s">
        <v>9</v>
      </c>
      <c r="E235" s="1983"/>
      <c r="F235" s="1983"/>
      <c r="G235" s="1983"/>
      <c r="H235" s="2174"/>
      <c r="I235" s="1989"/>
      <c r="J235" s="1984"/>
      <c r="K235" s="1921"/>
    </row>
    <row r="236" spans="1:11" ht="15.75" thickBot="1">
      <c r="A236" s="1092"/>
      <c r="B236" s="1985"/>
      <c r="C236" s="2005" t="s">
        <v>10</v>
      </c>
      <c r="D236" s="2006" t="s">
        <v>11</v>
      </c>
      <c r="E236" s="2006" t="s">
        <v>12</v>
      </c>
      <c r="F236" s="2006" t="s">
        <v>13</v>
      </c>
      <c r="G236" s="2006" t="s">
        <v>14</v>
      </c>
      <c r="H236" s="2125" t="s">
        <v>1835</v>
      </c>
      <c r="I236" s="2008">
        <f>$G$17</f>
        <v>0.27</v>
      </c>
      <c r="J236" s="2007" t="s">
        <v>1834</v>
      </c>
      <c r="K236" s="1921"/>
    </row>
    <row r="237" spans="1:11">
      <c r="A237" s="1092"/>
      <c r="B237" s="1985"/>
      <c r="C237" s="2002" t="s">
        <v>205</v>
      </c>
      <c r="D237" s="2003" t="s">
        <v>190</v>
      </c>
      <c r="E237" s="2004">
        <v>38</v>
      </c>
      <c r="F237" s="2003">
        <v>10</v>
      </c>
      <c r="G237" s="2004">
        <v>350</v>
      </c>
      <c r="H237" s="2154">
        <v>89.090909090909079</v>
      </c>
      <c r="I237" s="2115">
        <f t="shared" ref="I237:I239" si="19">H237-H237*$I$213</f>
        <v>65.036363636363632</v>
      </c>
      <c r="J237" s="2103">
        <f>H237*0.8</f>
        <v>71.272727272727266</v>
      </c>
      <c r="K237" s="1921"/>
    </row>
    <row r="238" spans="1:11">
      <c r="A238" s="1092"/>
      <c r="B238" s="1987"/>
      <c r="C238" s="1999" t="s">
        <v>206</v>
      </c>
      <c r="D238" s="2000" t="s">
        <v>192</v>
      </c>
      <c r="E238" s="2001">
        <v>48</v>
      </c>
      <c r="F238" s="2000">
        <v>10</v>
      </c>
      <c r="G238" s="2001">
        <v>280</v>
      </c>
      <c r="H238" s="2155">
        <v>112.66363636363634</v>
      </c>
      <c r="I238" s="2115">
        <f t="shared" si="19"/>
        <v>82.244454545454531</v>
      </c>
      <c r="J238" s="2104">
        <f>H238*0.8</f>
        <v>90.130909090909086</v>
      </c>
      <c r="K238" s="1921"/>
    </row>
    <row r="239" spans="1:11">
      <c r="A239" s="1092"/>
      <c r="B239" s="1985"/>
      <c r="C239" s="2002" t="s">
        <v>207</v>
      </c>
      <c r="D239" s="2003" t="s">
        <v>194</v>
      </c>
      <c r="E239" s="2004">
        <v>75</v>
      </c>
      <c r="F239" s="2003">
        <v>10</v>
      </c>
      <c r="G239" s="2004">
        <v>150</v>
      </c>
      <c r="H239" s="2154">
        <v>173.86363636363635</v>
      </c>
      <c r="I239" s="2115">
        <f t="shared" si="19"/>
        <v>126.92045454545453</v>
      </c>
      <c r="J239" s="2103">
        <f>H239*0.8</f>
        <v>139.09090909090909</v>
      </c>
      <c r="K239" s="1921"/>
    </row>
    <row r="240" spans="1:11">
      <c r="A240" s="1092"/>
      <c r="B240" s="1985"/>
      <c r="C240" s="1999" t="s">
        <v>208</v>
      </c>
      <c r="D240" s="2000" t="s">
        <v>209</v>
      </c>
      <c r="E240" s="2001">
        <v>191</v>
      </c>
      <c r="F240" s="2000">
        <v>8</v>
      </c>
      <c r="G240" s="2001">
        <v>80</v>
      </c>
      <c r="H240" s="2179">
        <v>110</v>
      </c>
      <c r="I240" s="2188" t="s">
        <v>1825</v>
      </c>
      <c r="J240" s="2188"/>
      <c r="K240" s="1921"/>
    </row>
    <row r="241" spans="1:11">
      <c r="A241" s="1092"/>
      <c r="B241" s="1985"/>
      <c r="C241" s="2002" t="s">
        <v>1705</v>
      </c>
      <c r="D241" s="2003" t="s">
        <v>697</v>
      </c>
      <c r="E241" s="2004">
        <v>415</v>
      </c>
      <c r="F241" s="2003">
        <v>10</v>
      </c>
      <c r="G241" s="2004">
        <v>30</v>
      </c>
      <c r="H241" s="2166">
        <v>268</v>
      </c>
      <c r="I241" s="2188" t="s">
        <v>1825</v>
      </c>
      <c r="J241" s="2188"/>
      <c r="K241" s="1921"/>
    </row>
    <row r="242" spans="1:11">
      <c r="A242" s="1092"/>
      <c r="B242" s="1981" t="s">
        <v>20</v>
      </c>
      <c r="C242" s="1983"/>
      <c r="D242" s="1982" t="s">
        <v>21</v>
      </c>
      <c r="E242" s="1983"/>
      <c r="F242" s="1983"/>
      <c r="G242" s="1983"/>
      <c r="H242" s="2174"/>
      <c r="I242" s="1989"/>
      <c r="J242" s="1984"/>
      <c r="K242" s="1921"/>
    </row>
    <row r="243" spans="1:11" ht="15.75" thickBot="1">
      <c r="A243" s="1092"/>
      <c r="B243" s="1985"/>
      <c r="C243" s="1982"/>
      <c r="D243" s="1983" t="s">
        <v>9</v>
      </c>
      <c r="E243" s="1983"/>
      <c r="F243" s="1983"/>
      <c r="G243" s="1983"/>
      <c r="H243" s="2174"/>
      <c r="I243" s="1989"/>
      <c r="J243" s="1984"/>
      <c r="K243" s="1921"/>
    </row>
    <row r="244" spans="1:11" ht="15.75" thickBot="1">
      <c r="A244" s="1092"/>
      <c r="B244" s="1985"/>
      <c r="C244" s="2005" t="s">
        <v>10</v>
      </c>
      <c r="D244" s="2006" t="s">
        <v>11</v>
      </c>
      <c r="E244" s="2006" t="s">
        <v>12</v>
      </c>
      <c r="F244" s="2006" t="s">
        <v>13</v>
      </c>
      <c r="G244" s="2006" t="s">
        <v>14</v>
      </c>
      <c r="H244" s="2125" t="s">
        <v>1835</v>
      </c>
      <c r="I244" s="2008">
        <f>$G$17</f>
        <v>0.27</v>
      </c>
      <c r="J244" s="2007" t="s">
        <v>1834</v>
      </c>
      <c r="K244" s="1921"/>
    </row>
    <row r="245" spans="1:11">
      <c r="A245" s="1092"/>
      <c r="B245" s="1985"/>
      <c r="C245" s="2002" t="s">
        <v>210</v>
      </c>
      <c r="D245" s="2003" t="s">
        <v>211</v>
      </c>
      <c r="E245" s="2004">
        <v>45</v>
      </c>
      <c r="F245" s="2003">
        <v>10</v>
      </c>
      <c r="G245" s="2004">
        <v>300</v>
      </c>
      <c r="H245" s="2154">
        <v>98.181818181818173</v>
      </c>
      <c r="I245" s="2115">
        <f>H245-H245*$I$213</f>
        <v>71.672727272727258</v>
      </c>
      <c r="J245" s="2103">
        <f>H245*0.8</f>
        <v>78.545454545454547</v>
      </c>
      <c r="K245" s="1921"/>
    </row>
    <row r="246" spans="1:11">
      <c r="A246" s="1092"/>
      <c r="B246" s="1985"/>
      <c r="C246" s="1999" t="s">
        <v>212</v>
      </c>
      <c r="D246" s="2000" t="s">
        <v>213</v>
      </c>
      <c r="E246" s="2001">
        <v>75</v>
      </c>
      <c r="F246" s="2000">
        <v>10</v>
      </c>
      <c r="G246" s="2001">
        <v>250</v>
      </c>
      <c r="H246" s="2155">
        <v>161.81818181818181</v>
      </c>
      <c r="I246" s="2115">
        <f t="shared" ref="I246:I254" si="20">H246-H246*$I$213</f>
        <v>118.12727272727273</v>
      </c>
      <c r="J246" s="2104">
        <f>H246*0.8</f>
        <v>129.45454545454547</v>
      </c>
      <c r="K246" s="1921"/>
    </row>
    <row r="247" spans="1:11">
      <c r="A247" s="1092"/>
      <c r="B247" s="1987"/>
      <c r="C247" s="2002" t="s">
        <v>214</v>
      </c>
      <c r="D247" s="2003" t="s">
        <v>215</v>
      </c>
      <c r="E247" s="2004">
        <v>80</v>
      </c>
      <c r="F247" s="2003">
        <v>10</v>
      </c>
      <c r="G247" s="2004">
        <v>150</v>
      </c>
      <c r="H247" s="2154">
        <v>179.99999999999997</v>
      </c>
      <c r="I247" s="2115">
        <f t="shared" si="20"/>
        <v>131.39999999999998</v>
      </c>
      <c r="J247" s="2103">
        <f>H247*0.8</f>
        <v>143.99999999999997</v>
      </c>
      <c r="K247" s="1921"/>
    </row>
    <row r="248" spans="1:11">
      <c r="A248" s="1092"/>
      <c r="B248" s="1985"/>
      <c r="C248" s="1999" t="s">
        <v>216</v>
      </c>
      <c r="D248" s="2000" t="s">
        <v>217</v>
      </c>
      <c r="E248" s="2001">
        <v>216</v>
      </c>
      <c r="F248" s="2000">
        <v>10</v>
      </c>
      <c r="G248" s="2001">
        <v>100</v>
      </c>
      <c r="H248" s="2179">
        <v>123</v>
      </c>
      <c r="I248" s="2188" t="s">
        <v>1825</v>
      </c>
      <c r="J248" s="2188"/>
      <c r="K248" s="1921"/>
    </row>
    <row r="249" spans="1:11">
      <c r="A249" s="1092"/>
      <c r="B249" s="1985"/>
      <c r="C249" s="2002" t="s">
        <v>218</v>
      </c>
      <c r="D249" s="2003" t="s">
        <v>219</v>
      </c>
      <c r="E249" s="2004">
        <v>140</v>
      </c>
      <c r="F249" s="2003">
        <v>10</v>
      </c>
      <c r="G249" s="2004">
        <v>100</v>
      </c>
      <c r="H249" s="2154">
        <v>296.36363636363632</v>
      </c>
      <c r="I249" s="2115">
        <f t="shared" si="20"/>
        <v>216.34545454545452</v>
      </c>
      <c r="J249" s="2103">
        <f>H249*0.8</f>
        <v>237.09090909090907</v>
      </c>
      <c r="K249" s="1921"/>
    </row>
    <row r="250" spans="1:11">
      <c r="A250" s="1092"/>
      <c r="B250" s="1985"/>
      <c r="C250" s="1999" t="s">
        <v>1711</v>
      </c>
      <c r="D250" s="2000" t="s">
        <v>698</v>
      </c>
      <c r="E250" s="2001">
        <v>145</v>
      </c>
      <c r="F250" s="2000">
        <v>10</v>
      </c>
      <c r="G250" s="2001">
        <v>100</v>
      </c>
      <c r="H250" s="2179">
        <v>93</v>
      </c>
      <c r="I250" s="2188" t="s">
        <v>1825</v>
      </c>
      <c r="J250" s="2188"/>
      <c r="K250" s="1921"/>
    </row>
    <row r="251" spans="1:11">
      <c r="A251" s="1092"/>
      <c r="B251" s="1985"/>
      <c r="C251" s="2002" t="s">
        <v>861</v>
      </c>
      <c r="D251" s="2003" t="s">
        <v>862</v>
      </c>
      <c r="E251" s="2004">
        <v>196</v>
      </c>
      <c r="F251" s="2003">
        <v>10</v>
      </c>
      <c r="G251" s="2004">
        <v>60</v>
      </c>
      <c r="H251" s="2154">
        <v>412.72727272727269</v>
      </c>
      <c r="I251" s="2115">
        <f t="shared" si="20"/>
        <v>301.29090909090905</v>
      </c>
      <c r="J251" s="2103">
        <f>H251*0.8</f>
        <v>330.18181818181819</v>
      </c>
      <c r="K251" s="1921"/>
    </row>
    <row r="252" spans="1:11">
      <c r="A252" s="1092"/>
      <c r="B252" s="1985"/>
      <c r="C252" s="1999" t="s">
        <v>863</v>
      </c>
      <c r="D252" s="2000" t="s">
        <v>864</v>
      </c>
      <c r="E252" s="2001">
        <v>320</v>
      </c>
      <c r="F252" s="2000">
        <v>10</v>
      </c>
      <c r="G252" s="2001">
        <v>50</v>
      </c>
      <c r="H252" s="2155">
        <v>636.36363636363626</v>
      </c>
      <c r="I252" s="2115">
        <f t="shared" si="20"/>
        <v>464.54545454545445</v>
      </c>
      <c r="J252" s="2104">
        <f>H252*0.8</f>
        <v>509.09090909090901</v>
      </c>
      <c r="K252" s="1921"/>
    </row>
    <row r="253" spans="1:11">
      <c r="A253" s="1092"/>
      <c r="B253" s="1985"/>
      <c r="C253" s="2002" t="s">
        <v>865</v>
      </c>
      <c r="D253" s="2003" t="s">
        <v>866</v>
      </c>
      <c r="E253" s="2004">
        <v>280</v>
      </c>
      <c r="F253" s="2003">
        <v>10</v>
      </c>
      <c r="G253" s="2004">
        <v>50</v>
      </c>
      <c r="H253" s="2154">
        <v>558.18181818181813</v>
      </c>
      <c r="I253" s="2115">
        <f t="shared" si="20"/>
        <v>407.47272727272718</v>
      </c>
      <c r="J253" s="2103">
        <f>H253*0.8</f>
        <v>446.5454545454545</v>
      </c>
      <c r="K253" s="1921"/>
    </row>
    <row r="254" spans="1:11">
      <c r="A254" s="1092"/>
      <c r="B254" s="1985"/>
      <c r="C254" s="1999" t="s">
        <v>867</v>
      </c>
      <c r="D254" s="2000" t="s">
        <v>1502</v>
      </c>
      <c r="E254" s="2001">
        <v>270</v>
      </c>
      <c r="F254" s="2000">
        <v>10</v>
      </c>
      <c r="G254" s="2001">
        <v>50</v>
      </c>
      <c r="H254" s="2155">
        <v>525.45454545454538</v>
      </c>
      <c r="I254" s="2115">
        <f t="shared" si="20"/>
        <v>383.58181818181811</v>
      </c>
      <c r="J254" s="2104">
        <f>H254*0.8</f>
        <v>420.36363636363632</v>
      </c>
      <c r="K254" s="1921"/>
    </row>
    <row r="255" spans="1:11">
      <c r="A255" s="1092"/>
      <c r="B255" s="1981" t="s">
        <v>22</v>
      </c>
      <c r="C255" s="2054"/>
      <c r="D255" s="1982" t="s">
        <v>23</v>
      </c>
      <c r="E255" s="1983"/>
      <c r="F255" s="1983"/>
      <c r="G255" s="1983"/>
      <c r="H255" s="2174"/>
      <c r="I255" s="1989"/>
      <c r="J255" s="1984"/>
      <c r="K255" s="1921"/>
    </row>
    <row r="256" spans="1:11" ht="15.75" thickBot="1">
      <c r="A256" s="1092"/>
      <c r="B256" s="1985"/>
      <c r="C256" s="1982"/>
      <c r="D256" s="1983" t="s">
        <v>9</v>
      </c>
      <c r="E256" s="1983"/>
      <c r="F256" s="1983"/>
      <c r="G256" s="2055"/>
      <c r="H256" s="2176"/>
      <c r="I256" s="1989"/>
      <c r="J256" s="1984"/>
      <c r="K256" s="1921"/>
    </row>
    <row r="257" spans="1:11" ht="15.75" thickBot="1">
      <c r="A257" s="1092"/>
      <c r="B257" s="1985"/>
      <c r="C257" s="2005" t="s">
        <v>10</v>
      </c>
      <c r="D257" s="2006" t="s">
        <v>11</v>
      </c>
      <c r="E257" s="2006" t="s">
        <v>12</v>
      </c>
      <c r="F257" s="2006" t="s">
        <v>13</v>
      </c>
      <c r="G257" s="2006" t="s">
        <v>14</v>
      </c>
      <c r="H257" s="2125" t="s">
        <v>1835</v>
      </c>
      <c r="I257" s="2008">
        <f>$G$17</f>
        <v>0.27</v>
      </c>
      <c r="J257" s="2007" t="s">
        <v>1834</v>
      </c>
      <c r="K257" s="1921"/>
    </row>
    <row r="258" spans="1:11">
      <c r="A258" s="1092"/>
      <c r="B258" s="1985"/>
      <c r="C258" s="2002" t="s">
        <v>220</v>
      </c>
      <c r="D258" s="2003" t="s">
        <v>190</v>
      </c>
      <c r="E258" s="2004">
        <v>58</v>
      </c>
      <c r="F258" s="2003">
        <v>40</v>
      </c>
      <c r="G258" s="2004">
        <v>280</v>
      </c>
      <c r="H258" s="2154">
        <v>119.99999999999999</v>
      </c>
      <c r="I258" s="2115">
        <f t="shared" ref="I258:I260" si="21">H258-H258*$I$213</f>
        <v>87.6</v>
      </c>
      <c r="J258" s="2103">
        <f>H258*0.8</f>
        <v>96</v>
      </c>
      <c r="K258" s="1921"/>
    </row>
    <row r="259" spans="1:11">
      <c r="A259" s="1092"/>
      <c r="B259" s="1987"/>
      <c r="C259" s="1999" t="s">
        <v>221</v>
      </c>
      <c r="D259" s="2000" t="s">
        <v>192</v>
      </c>
      <c r="E259" s="2001">
        <v>108</v>
      </c>
      <c r="F259" s="2000">
        <v>20</v>
      </c>
      <c r="G259" s="2001">
        <v>140</v>
      </c>
      <c r="H259" s="2155">
        <v>227.27272727272725</v>
      </c>
      <c r="I259" s="2115">
        <f t="shared" si="21"/>
        <v>165.90909090909088</v>
      </c>
      <c r="J259" s="2104">
        <f>H259*0.8</f>
        <v>181.81818181818181</v>
      </c>
      <c r="K259" s="1921"/>
    </row>
    <row r="260" spans="1:11">
      <c r="A260" s="1092"/>
      <c r="B260" s="1985"/>
      <c r="C260" s="2002" t="s">
        <v>222</v>
      </c>
      <c r="D260" s="2003" t="s">
        <v>194</v>
      </c>
      <c r="E260" s="2004">
        <v>170</v>
      </c>
      <c r="F260" s="2003">
        <v>5</v>
      </c>
      <c r="G260" s="2004">
        <v>80</v>
      </c>
      <c r="H260" s="2154">
        <v>343.63636363636363</v>
      </c>
      <c r="I260" s="2115">
        <f t="shared" si="21"/>
        <v>250.85454545454544</v>
      </c>
      <c r="J260" s="2103">
        <f>H260*0.8</f>
        <v>274.90909090909093</v>
      </c>
      <c r="K260" s="1921"/>
    </row>
    <row r="261" spans="1:11">
      <c r="A261" s="1092"/>
      <c r="B261" s="1985"/>
      <c r="C261" s="1999" t="s">
        <v>223</v>
      </c>
      <c r="D261" s="2000" t="s">
        <v>209</v>
      </c>
      <c r="E261" s="2001">
        <v>365</v>
      </c>
      <c r="F261" s="2000">
        <v>5</v>
      </c>
      <c r="G261" s="2001">
        <v>50</v>
      </c>
      <c r="H261" s="2179">
        <v>238</v>
      </c>
      <c r="I261" s="2188" t="s">
        <v>1825</v>
      </c>
      <c r="J261" s="2188"/>
      <c r="K261" s="1921"/>
    </row>
    <row r="262" spans="1:11">
      <c r="A262" s="1092"/>
      <c r="B262" s="1985"/>
      <c r="C262" s="2002" t="s">
        <v>1696</v>
      </c>
      <c r="D262" s="2003" t="s">
        <v>696</v>
      </c>
      <c r="E262" s="2004">
        <v>455</v>
      </c>
      <c r="F262" s="2003">
        <v>5</v>
      </c>
      <c r="G262" s="2004">
        <v>25</v>
      </c>
      <c r="H262" s="2166">
        <v>300</v>
      </c>
      <c r="I262" s="2188" t="s">
        <v>1825</v>
      </c>
      <c r="J262" s="2188"/>
      <c r="K262" s="1921"/>
    </row>
    <row r="263" spans="1:11">
      <c r="A263" s="1092"/>
      <c r="B263" s="1985"/>
      <c r="C263" s="1999" t="s">
        <v>1695</v>
      </c>
      <c r="D263" s="2000" t="s">
        <v>697</v>
      </c>
      <c r="E263" s="2001">
        <v>840</v>
      </c>
      <c r="F263" s="2000">
        <v>5</v>
      </c>
      <c r="G263" s="2001">
        <v>15</v>
      </c>
      <c r="H263" s="2179">
        <v>535</v>
      </c>
      <c r="I263" s="2188" t="s">
        <v>1825</v>
      </c>
      <c r="J263" s="2188"/>
      <c r="K263" s="1921"/>
    </row>
    <row r="264" spans="1:11">
      <c r="A264" s="1092"/>
      <c r="B264" s="1981" t="s">
        <v>24</v>
      </c>
      <c r="C264" s="1983"/>
      <c r="D264" s="1982" t="s">
        <v>23</v>
      </c>
      <c r="E264" s="1983"/>
      <c r="F264" s="1983"/>
      <c r="G264" s="1983"/>
      <c r="H264" s="2174"/>
      <c r="I264" s="1989"/>
      <c r="J264" s="1984"/>
      <c r="K264" s="1921"/>
    </row>
    <row r="265" spans="1:11" ht="15.75" thickBot="1">
      <c r="A265" s="1092"/>
      <c r="B265" s="1985"/>
      <c r="C265" s="1982"/>
      <c r="D265" s="1983" t="s">
        <v>25</v>
      </c>
      <c r="E265" s="1983"/>
      <c r="F265" s="1983"/>
      <c r="G265" s="1983"/>
      <c r="H265" s="2174"/>
      <c r="I265" s="1989"/>
      <c r="J265" s="1984"/>
      <c r="K265" s="1921"/>
    </row>
    <row r="266" spans="1:11" ht="15.75" thickBot="1">
      <c r="A266" s="1092"/>
      <c r="B266" s="1985"/>
      <c r="C266" s="2005" t="s">
        <v>10</v>
      </c>
      <c r="D266" s="2006" t="s">
        <v>11</v>
      </c>
      <c r="E266" s="2006" t="s">
        <v>12</v>
      </c>
      <c r="F266" s="2006" t="s">
        <v>13</v>
      </c>
      <c r="G266" s="2006" t="s">
        <v>14</v>
      </c>
      <c r="H266" s="2125" t="s">
        <v>1835</v>
      </c>
      <c r="I266" s="2008">
        <f>$G$17</f>
        <v>0.27</v>
      </c>
      <c r="J266" s="2007" t="s">
        <v>1834</v>
      </c>
      <c r="K266" s="1921"/>
    </row>
    <row r="267" spans="1:11">
      <c r="A267" s="1092"/>
      <c r="B267" s="1987"/>
      <c r="C267" s="2002" t="s">
        <v>224</v>
      </c>
      <c r="D267" s="2003" t="s">
        <v>190</v>
      </c>
      <c r="E267" s="2004">
        <v>60</v>
      </c>
      <c r="F267" s="2003">
        <v>10</v>
      </c>
      <c r="G267" s="2004">
        <v>280</v>
      </c>
      <c r="H267" s="2154">
        <v>120.90909090909089</v>
      </c>
      <c r="I267" s="2115">
        <f t="shared" ref="I267:I269" si="22">H267-H267*$I$213</f>
        <v>88.263636363636351</v>
      </c>
      <c r="J267" s="2103">
        <f>H267*0.8</f>
        <v>96.72727272727272</v>
      </c>
      <c r="K267" s="1921"/>
    </row>
    <row r="268" spans="1:11">
      <c r="A268" s="1092"/>
      <c r="B268" s="1985"/>
      <c r="C268" s="1999" t="s">
        <v>225</v>
      </c>
      <c r="D268" s="2000" t="s">
        <v>192</v>
      </c>
      <c r="E268" s="2001">
        <v>120</v>
      </c>
      <c r="F268" s="2000">
        <v>10</v>
      </c>
      <c r="G268" s="2001">
        <v>140</v>
      </c>
      <c r="H268" s="2155">
        <v>245.45454545454544</v>
      </c>
      <c r="I268" s="2115">
        <f t="shared" si="22"/>
        <v>179.18181818181819</v>
      </c>
      <c r="J268" s="2104">
        <f>H268*0.8</f>
        <v>196.36363636363637</v>
      </c>
      <c r="K268" s="1921"/>
    </row>
    <row r="269" spans="1:11">
      <c r="A269" s="1092"/>
      <c r="B269" s="1985"/>
      <c r="C269" s="2002" t="s">
        <v>226</v>
      </c>
      <c r="D269" s="2003" t="s">
        <v>227</v>
      </c>
      <c r="E269" s="2004">
        <v>180</v>
      </c>
      <c r="F269" s="2003">
        <v>7</v>
      </c>
      <c r="G269" s="2004">
        <v>70</v>
      </c>
      <c r="H269" s="2154">
        <v>372.72727272727269</v>
      </c>
      <c r="I269" s="2115">
        <f t="shared" si="22"/>
        <v>272.09090909090907</v>
      </c>
      <c r="J269" s="2103">
        <f>H269*0.8</f>
        <v>298.18181818181819</v>
      </c>
      <c r="K269" s="1921"/>
    </row>
    <row r="270" spans="1:11">
      <c r="A270" s="1092"/>
      <c r="B270" s="1985"/>
      <c r="C270" s="1999" t="s">
        <v>1690</v>
      </c>
      <c r="D270" s="2000" t="s">
        <v>1784</v>
      </c>
      <c r="E270" s="2001">
        <v>388</v>
      </c>
      <c r="F270" s="2000">
        <v>10</v>
      </c>
      <c r="G270" s="2001">
        <v>40</v>
      </c>
      <c r="H270" s="2179">
        <v>264</v>
      </c>
      <c r="I270" s="2188" t="s">
        <v>1825</v>
      </c>
      <c r="J270" s="2188"/>
      <c r="K270" s="1921"/>
    </row>
    <row r="271" spans="1:11">
      <c r="A271" s="1092"/>
      <c r="B271" s="1985"/>
      <c r="C271" s="2002" t="s">
        <v>1689</v>
      </c>
      <c r="D271" s="2003" t="s">
        <v>1785</v>
      </c>
      <c r="E271" s="2004">
        <v>550</v>
      </c>
      <c r="F271" s="2003">
        <v>5</v>
      </c>
      <c r="G271" s="2004">
        <v>25</v>
      </c>
      <c r="H271" s="2166">
        <v>412</v>
      </c>
      <c r="I271" s="2188" t="s">
        <v>1825</v>
      </c>
      <c r="J271" s="2188"/>
      <c r="K271" s="1921"/>
    </row>
    <row r="272" spans="1:11">
      <c r="A272" s="1092"/>
      <c r="B272" s="1985"/>
      <c r="C272" s="1999" t="s">
        <v>1688</v>
      </c>
      <c r="D272" s="2000" t="s">
        <v>1786</v>
      </c>
      <c r="E272" s="2001">
        <v>910</v>
      </c>
      <c r="F272" s="2000">
        <v>5</v>
      </c>
      <c r="G272" s="2001">
        <v>15</v>
      </c>
      <c r="H272" s="2179">
        <v>569</v>
      </c>
      <c r="I272" s="2188" t="s">
        <v>1825</v>
      </c>
      <c r="J272" s="2188"/>
      <c r="K272" s="1921"/>
    </row>
    <row r="273" spans="1:11">
      <c r="A273" s="1092"/>
      <c r="B273" s="1981" t="s">
        <v>26</v>
      </c>
      <c r="C273" s="1983"/>
      <c r="D273" s="1982" t="s">
        <v>23</v>
      </c>
      <c r="E273" s="1983"/>
      <c r="F273" s="1983"/>
      <c r="G273" s="1983"/>
      <c r="H273" s="2174"/>
      <c r="I273" s="1989"/>
      <c r="J273" s="1984"/>
      <c r="K273" s="1921"/>
    </row>
    <row r="274" spans="1:11" ht="15.75" thickBot="1">
      <c r="A274" s="1092"/>
      <c r="B274" s="1985"/>
      <c r="C274" s="1982"/>
      <c r="D274" s="1983" t="s">
        <v>27</v>
      </c>
      <c r="E274" s="1983"/>
      <c r="F274" s="1983"/>
      <c r="G274" s="1983"/>
      <c r="H274" s="2174"/>
      <c r="I274" s="1989"/>
      <c r="J274" s="1984"/>
      <c r="K274" s="1921"/>
    </row>
    <row r="275" spans="1:11" ht="15.75" thickBot="1">
      <c r="A275" s="1092"/>
      <c r="B275" s="1985"/>
      <c r="C275" s="2005" t="s">
        <v>10</v>
      </c>
      <c r="D275" s="2006" t="s">
        <v>11</v>
      </c>
      <c r="E275" s="2006" t="s">
        <v>12</v>
      </c>
      <c r="F275" s="2006" t="s">
        <v>13</v>
      </c>
      <c r="G275" s="2006" t="s">
        <v>14</v>
      </c>
      <c r="H275" s="2125" t="s">
        <v>1835</v>
      </c>
      <c r="I275" s="2008">
        <f>$G$17</f>
        <v>0.27</v>
      </c>
      <c r="J275" s="2007" t="s">
        <v>1834</v>
      </c>
      <c r="K275" s="1921"/>
    </row>
    <row r="276" spans="1:11">
      <c r="A276" s="1092"/>
      <c r="B276" s="1987"/>
      <c r="C276" s="2002" t="s">
        <v>228</v>
      </c>
      <c r="D276" s="2003" t="s">
        <v>190</v>
      </c>
      <c r="E276" s="2004">
        <v>80</v>
      </c>
      <c r="F276" s="2003">
        <v>10</v>
      </c>
      <c r="G276" s="2004">
        <v>220</v>
      </c>
      <c r="H276" s="2166">
        <v>69</v>
      </c>
      <c r="I276" s="2188" t="s">
        <v>1998</v>
      </c>
      <c r="J276" s="2188"/>
      <c r="K276" s="1921"/>
    </row>
    <row r="277" spans="1:11">
      <c r="A277" s="1092"/>
      <c r="B277" s="1985"/>
      <c r="C277" s="1999" t="s">
        <v>229</v>
      </c>
      <c r="D277" s="2000" t="s">
        <v>192</v>
      </c>
      <c r="E277" s="2001">
        <v>122</v>
      </c>
      <c r="F277" s="2000">
        <v>8</v>
      </c>
      <c r="G277" s="2001">
        <v>120</v>
      </c>
      <c r="H277" s="2155">
        <v>239.99999999999997</v>
      </c>
      <c r="I277" s="2115">
        <f>H277-H277*$I$213</f>
        <v>175.2</v>
      </c>
      <c r="J277" s="2104">
        <f>H277*0.8</f>
        <v>192</v>
      </c>
      <c r="K277" s="1921"/>
    </row>
    <row r="278" spans="1:11">
      <c r="A278" s="1092"/>
      <c r="B278" s="1985"/>
      <c r="C278" s="2002" t="s">
        <v>230</v>
      </c>
      <c r="D278" s="2003" t="s">
        <v>194</v>
      </c>
      <c r="E278" s="2004">
        <v>191</v>
      </c>
      <c r="F278" s="2003">
        <v>7</v>
      </c>
      <c r="G278" s="2004">
        <v>70</v>
      </c>
      <c r="H278" s="2154">
        <v>386.67272727272729</v>
      </c>
      <c r="I278" s="2115">
        <f>H278-H278*$I$213</f>
        <v>282.2710909090909</v>
      </c>
      <c r="J278" s="2103">
        <f>H278*0.8</f>
        <v>309.33818181818185</v>
      </c>
      <c r="K278" s="1921"/>
    </row>
    <row r="279" spans="1:11">
      <c r="A279" s="1092"/>
      <c r="B279" s="1981" t="s">
        <v>28</v>
      </c>
      <c r="C279" s="1983"/>
      <c r="D279" s="1982" t="s">
        <v>29</v>
      </c>
      <c r="E279" s="1983"/>
      <c r="F279" s="1983"/>
      <c r="G279" s="1983"/>
      <c r="H279" s="2174"/>
      <c r="I279" s="1989"/>
      <c r="J279" s="1995" t="s">
        <v>1780</v>
      </c>
      <c r="K279" s="1921"/>
    </row>
    <row r="280" spans="1:11" ht="15.75" thickBot="1">
      <c r="A280" s="1092"/>
      <c r="B280" s="1985"/>
      <c r="C280" s="1982"/>
      <c r="D280" s="1983" t="s">
        <v>25</v>
      </c>
      <c r="E280" s="1983"/>
      <c r="F280" s="1983"/>
      <c r="G280" s="1983"/>
      <c r="H280" s="2174"/>
      <c r="I280" s="1989"/>
      <c r="J280" s="1984"/>
      <c r="K280" s="1921"/>
    </row>
    <row r="281" spans="1:11" ht="15.75" thickBot="1">
      <c r="A281" s="1092"/>
      <c r="B281" s="1985"/>
      <c r="C281" s="2005" t="s">
        <v>10</v>
      </c>
      <c r="D281" s="2006" t="s">
        <v>11</v>
      </c>
      <c r="E281" s="2006" t="s">
        <v>12</v>
      </c>
      <c r="F281" s="2006" t="s">
        <v>13</v>
      </c>
      <c r="G281" s="2006" t="s">
        <v>14</v>
      </c>
      <c r="H281" s="2125" t="s">
        <v>1835</v>
      </c>
      <c r="I281" s="2008">
        <f>$G$17</f>
        <v>0.27</v>
      </c>
      <c r="J281" s="2007" t="s">
        <v>1834</v>
      </c>
      <c r="K281" s="1921"/>
    </row>
    <row r="282" spans="1:11">
      <c r="A282" s="1092"/>
      <c r="B282" s="1987"/>
      <c r="C282" s="2002" t="s">
        <v>231</v>
      </c>
      <c r="D282" s="2003" t="s">
        <v>190</v>
      </c>
      <c r="E282" s="2004">
        <v>123</v>
      </c>
      <c r="F282" s="2003">
        <v>10</v>
      </c>
      <c r="G282" s="2004">
        <v>170</v>
      </c>
      <c r="H282" s="2154">
        <v>252.72727272727272</v>
      </c>
      <c r="I282" s="2115">
        <f t="shared" ref="I282:I287" si="23">H282-H282*$I$213</f>
        <v>184.4909090909091</v>
      </c>
      <c r="J282" s="2103">
        <f t="shared" ref="J282:J287" si="24">H282*0.8</f>
        <v>202.18181818181819</v>
      </c>
      <c r="K282" s="1921"/>
    </row>
    <row r="283" spans="1:11">
      <c r="A283" s="1092"/>
      <c r="B283" s="1985"/>
      <c r="C283" s="1999" t="s">
        <v>232</v>
      </c>
      <c r="D283" s="2000" t="s">
        <v>192</v>
      </c>
      <c r="E283" s="2001">
        <v>190</v>
      </c>
      <c r="F283" s="2000">
        <v>5</v>
      </c>
      <c r="G283" s="2001">
        <v>100</v>
      </c>
      <c r="H283" s="2155">
        <v>390.90909090909088</v>
      </c>
      <c r="I283" s="2115">
        <f t="shared" si="23"/>
        <v>285.36363636363632</v>
      </c>
      <c r="J283" s="2104">
        <f t="shared" si="24"/>
        <v>312.72727272727275</v>
      </c>
      <c r="K283" s="1921"/>
    </row>
    <row r="284" spans="1:11">
      <c r="A284" s="1092"/>
      <c r="B284" s="1985"/>
      <c r="C284" s="2002" t="s">
        <v>233</v>
      </c>
      <c r="D284" s="2003" t="s">
        <v>194</v>
      </c>
      <c r="E284" s="2004">
        <v>342</v>
      </c>
      <c r="F284" s="2003">
        <v>5</v>
      </c>
      <c r="G284" s="2004">
        <v>50</v>
      </c>
      <c r="H284" s="2154">
        <v>672.72727272727263</v>
      </c>
      <c r="I284" s="2115">
        <f t="shared" si="23"/>
        <v>491.09090909090901</v>
      </c>
      <c r="J284" s="2103">
        <f t="shared" si="24"/>
        <v>538.18181818181813</v>
      </c>
      <c r="K284" s="1921"/>
    </row>
    <row r="285" spans="1:11">
      <c r="A285" s="1092"/>
      <c r="B285" s="1985"/>
      <c r="C285" s="1999" t="s">
        <v>701</v>
      </c>
      <c r="D285" s="2000" t="s">
        <v>1787</v>
      </c>
      <c r="E285" s="2001">
        <v>524</v>
      </c>
      <c r="F285" s="2000">
        <v>3</v>
      </c>
      <c r="G285" s="2001">
        <v>30</v>
      </c>
      <c r="H285" s="2155">
        <v>1054.5454545454545</v>
      </c>
      <c r="I285" s="2115">
        <f t="shared" si="23"/>
        <v>769.81818181818176</v>
      </c>
      <c r="J285" s="2104">
        <f t="shared" si="24"/>
        <v>843.63636363636363</v>
      </c>
      <c r="K285" s="1921"/>
    </row>
    <row r="286" spans="1:11">
      <c r="A286" s="1092"/>
      <c r="B286" s="1985"/>
      <c r="C286" s="2002" t="s">
        <v>545</v>
      </c>
      <c r="D286" s="2003" t="s">
        <v>303</v>
      </c>
      <c r="E286" s="2004">
        <v>721</v>
      </c>
      <c r="F286" s="2003">
        <v>1</v>
      </c>
      <c r="G286" s="2004">
        <v>10</v>
      </c>
      <c r="H286" s="2154">
        <v>1409.090909090909</v>
      </c>
      <c r="I286" s="2115">
        <f t="shared" si="23"/>
        <v>1028.6363636363635</v>
      </c>
      <c r="J286" s="2103">
        <f t="shared" si="24"/>
        <v>1127.2727272727273</v>
      </c>
      <c r="K286" s="1921"/>
    </row>
    <row r="287" spans="1:11">
      <c r="A287" s="1092"/>
      <c r="B287" s="1985"/>
      <c r="C287" s="1999" t="s">
        <v>1681</v>
      </c>
      <c r="D287" s="2000" t="s">
        <v>700</v>
      </c>
      <c r="E287" s="2001">
        <v>1670</v>
      </c>
      <c r="F287" s="2000">
        <v>1</v>
      </c>
      <c r="G287" s="2001">
        <v>10</v>
      </c>
      <c r="H287" s="2155">
        <v>3263.6363636363635</v>
      </c>
      <c r="I287" s="2115">
        <f t="shared" si="23"/>
        <v>2382.454545454545</v>
      </c>
      <c r="J287" s="2104">
        <f t="shared" si="24"/>
        <v>2610.909090909091</v>
      </c>
      <c r="K287" s="1921"/>
    </row>
    <row r="288" spans="1:11">
      <c r="A288" s="1092"/>
      <c r="B288" s="1981" t="s">
        <v>30</v>
      </c>
      <c r="C288" s="1983"/>
      <c r="D288" s="1982" t="s">
        <v>539</v>
      </c>
      <c r="E288" s="1983"/>
      <c r="F288" s="1983"/>
      <c r="G288" s="1983"/>
      <c r="H288" s="2174"/>
      <c r="I288" s="1989"/>
      <c r="J288" s="1984"/>
      <c r="K288" s="1921"/>
    </row>
    <row r="289" spans="1:11" ht="15.75" thickBot="1">
      <c r="A289" s="1092"/>
      <c r="B289" s="1985"/>
      <c r="C289" s="1982"/>
      <c r="D289" s="1983" t="s">
        <v>31</v>
      </c>
      <c r="E289" s="1983"/>
      <c r="F289" s="1983"/>
      <c r="G289" s="1983"/>
      <c r="H289" s="2174"/>
      <c r="I289" s="1989"/>
      <c r="J289" s="1984"/>
      <c r="K289" s="1921"/>
    </row>
    <row r="290" spans="1:11" ht="15.75" thickBot="1">
      <c r="A290" s="1092"/>
      <c r="B290" s="1985"/>
      <c r="C290" s="2005" t="s">
        <v>10</v>
      </c>
      <c r="D290" s="2006" t="s">
        <v>11</v>
      </c>
      <c r="E290" s="2006" t="s">
        <v>12</v>
      </c>
      <c r="F290" s="2006" t="s">
        <v>13</v>
      </c>
      <c r="G290" s="2006" t="s">
        <v>14</v>
      </c>
      <c r="H290" s="2125" t="s">
        <v>1835</v>
      </c>
      <c r="I290" s="2007"/>
      <c r="J290" s="2007"/>
      <c r="K290" s="1921"/>
    </row>
    <row r="291" spans="1:11">
      <c r="A291" s="1092"/>
      <c r="B291" s="1987"/>
      <c r="C291" s="2002" t="s">
        <v>234</v>
      </c>
      <c r="D291" s="2003" t="s">
        <v>190</v>
      </c>
      <c r="E291" s="2004">
        <v>115</v>
      </c>
      <c r="F291" s="2003">
        <v>10</v>
      </c>
      <c r="G291" s="2004">
        <v>220</v>
      </c>
      <c r="H291" s="2166">
        <v>89</v>
      </c>
      <c r="I291" s="2188" t="s">
        <v>1825</v>
      </c>
      <c r="J291" s="2188"/>
      <c r="K291" s="1921"/>
    </row>
    <row r="292" spans="1:11">
      <c r="A292" s="1092"/>
      <c r="B292" s="1985"/>
      <c r="C292" s="1999" t="s">
        <v>235</v>
      </c>
      <c r="D292" s="2000" t="s">
        <v>192</v>
      </c>
      <c r="E292" s="2001">
        <v>205</v>
      </c>
      <c r="F292" s="2000">
        <v>10</v>
      </c>
      <c r="G292" s="2001">
        <v>140</v>
      </c>
      <c r="H292" s="2179">
        <v>154</v>
      </c>
      <c r="I292" s="2188" t="s">
        <v>1825</v>
      </c>
      <c r="J292" s="2188"/>
      <c r="K292" s="1921"/>
    </row>
    <row r="293" spans="1:11">
      <c r="A293" s="1092"/>
      <c r="B293" s="1981" t="s">
        <v>32</v>
      </c>
      <c r="C293" s="1983"/>
      <c r="D293" s="1982" t="s">
        <v>33</v>
      </c>
      <c r="E293" s="1983"/>
      <c r="F293" s="1983"/>
      <c r="G293" s="1983"/>
      <c r="H293" s="2174"/>
      <c r="I293" s="1989"/>
      <c r="J293" s="1984"/>
      <c r="K293" s="1921"/>
    </row>
    <row r="294" spans="1:11" ht="15.75" thickBot="1">
      <c r="A294" s="1092"/>
      <c r="B294" s="1985"/>
      <c r="C294" s="1982"/>
      <c r="D294" s="1983" t="s">
        <v>25</v>
      </c>
      <c r="E294" s="1983"/>
      <c r="F294" s="1983"/>
      <c r="G294" s="1983"/>
      <c r="H294" s="2174"/>
      <c r="I294" s="1989"/>
      <c r="J294" s="1984"/>
      <c r="K294" s="1921"/>
    </row>
    <row r="295" spans="1:11" ht="15.75" thickBot="1">
      <c r="A295" s="1092"/>
      <c r="B295" s="1985"/>
      <c r="C295" s="2005" t="s">
        <v>10</v>
      </c>
      <c r="D295" s="2006" t="s">
        <v>11</v>
      </c>
      <c r="E295" s="2006" t="s">
        <v>12</v>
      </c>
      <c r="F295" s="2006" t="s">
        <v>13</v>
      </c>
      <c r="G295" s="2006" t="s">
        <v>14</v>
      </c>
      <c r="H295" s="2125" t="s">
        <v>1835</v>
      </c>
      <c r="I295" s="2008">
        <f>$G$17</f>
        <v>0.27</v>
      </c>
      <c r="J295" s="2007" t="s">
        <v>1834</v>
      </c>
      <c r="K295" s="1921"/>
    </row>
    <row r="296" spans="1:11">
      <c r="A296" s="1092"/>
      <c r="B296" s="1987"/>
      <c r="C296" s="2002" t="s">
        <v>237</v>
      </c>
      <c r="D296" s="2003" t="s">
        <v>190</v>
      </c>
      <c r="E296" s="2004">
        <v>92</v>
      </c>
      <c r="F296" s="2003">
        <v>10</v>
      </c>
      <c r="G296" s="2004">
        <v>220</v>
      </c>
      <c r="H296" s="2154">
        <v>201.81818181818181</v>
      </c>
      <c r="I296" s="2115">
        <f t="shared" ref="I296:I300" si="25">H296-H296*$I$213</f>
        <v>147.32727272727271</v>
      </c>
      <c r="J296" s="2103">
        <f t="shared" ref="J296:J301" si="26">H296*0.8</f>
        <v>161.45454545454547</v>
      </c>
      <c r="K296" s="1921"/>
    </row>
    <row r="297" spans="1:11">
      <c r="A297" s="1092"/>
      <c r="B297" s="1985"/>
      <c r="C297" s="1999" t="s">
        <v>238</v>
      </c>
      <c r="D297" s="2000" t="s">
        <v>192</v>
      </c>
      <c r="E297" s="2001">
        <v>145</v>
      </c>
      <c r="F297" s="2000">
        <v>10</v>
      </c>
      <c r="G297" s="2001">
        <v>140</v>
      </c>
      <c r="H297" s="2155">
        <v>325.45454545454544</v>
      </c>
      <c r="I297" s="2115">
        <f t="shared" si="25"/>
        <v>237.58181818181816</v>
      </c>
      <c r="J297" s="2104">
        <f t="shared" si="26"/>
        <v>260.36363636363637</v>
      </c>
      <c r="K297" s="1921"/>
    </row>
    <row r="298" spans="1:11">
      <c r="A298" s="1092"/>
      <c r="B298" s="1985"/>
      <c r="C298" s="2002" t="s">
        <v>239</v>
      </c>
      <c r="D298" s="2003" t="s">
        <v>194</v>
      </c>
      <c r="E298" s="2004">
        <v>260</v>
      </c>
      <c r="F298" s="2003">
        <v>8</v>
      </c>
      <c r="G298" s="2004">
        <v>80</v>
      </c>
      <c r="H298" s="2154">
        <v>572.72727272727263</v>
      </c>
      <c r="I298" s="2115">
        <f t="shared" si="25"/>
        <v>418.09090909090901</v>
      </c>
      <c r="J298" s="2103">
        <f t="shared" si="26"/>
        <v>458.18181818181813</v>
      </c>
      <c r="K298" s="1921"/>
    </row>
    <row r="299" spans="1:11">
      <c r="A299" s="1092"/>
      <c r="B299" s="1985"/>
      <c r="C299" s="1999" t="s">
        <v>240</v>
      </c>
      <c r="D299" s="2000" t="s">
        <v>209</v>
      </c>
      <c r="E299" s="2001">
        <v>360</v>
      </c>
      <c r="F299" s="2000">
        <v>5</v>
      </c>
      <c r="G299" s="2001">
        <v>50</v>
      </c>
      <c r="H299" s="2155">
        <v>827.27272727272725</v>
      </c>
      <c r="I299" s="2115">
        <f t="shared" si="25"/>
        <v>603.90909090909088</v>
      </c>
      <c r="J299" s="2104">
        <f t="shared" si="26"/>
        <v>661.81818181818187</v>
      </c>
      <c r="K299" s="1921"/>
    </row>
    <row r="300" spans="1:11">
      <c r="A300" s="1092"/>
      <c r="B300" s="1985"/>
      <c r="C300" s="2002" t="s">
        <v>1639</v>
      </c>
      <c r="D300" s="2003" t="s">
        <v>303</v>
      </c>
      <c r="E300" s="2004">
        <v>450</v>
      </c>
      <c r="F300" s="2003">
        <v>2</v>
      </c>
      <c r="G300" s="2004">
        <v>20</v>
      </c>
      <c r="H300" s="2154">
        <v>1009.090909090909</v>
      </c>
      <c r="I300" s="2115">
        <f t="shared" si="25"/>
        <v>736.63636363636351</v>
      </c>
      <c r="J300" s="2103">
        <f t="shared" si="26"/>
        <v>807.27272727272725</v>
      </c>
      <c r="K300" s="1921"/>
    </row>
    <row r="301" spans="1:11">
      <c r="A301" s="1092"/>
      <c r="B301" s="1985"/>
      <c r="C301" s="1999" t="s">
        <v>1385</v>
      </c>
      <c r="D301" s="2000" t="s">
        <v>702</v>
      </c>
      <c r="E301" s="2001">
        <v>1280</v>
      </c>
      <c r="F301" s="2000">
        <v>1</v>
      </c>
      <c r="G301" s="2001">
        <v>15</v>
      </c>
      <c r="H301" s="2155">
        <v>2545.454545454545</v>
      </c>
      <c r="I301" s="2115">
        <f t="shared" ref="I301" si="27">H301-H301*$I$213</f>
        <v>1858.1818181818178</v>
      </c>
      <c r="J301" s="2104">
        <f t="shared" si="26"/>
        <v>2036.363636363636</v>
      </c>
      <c r="K301" s="1921"/>
    </row>
    <row r="302" spans="1:11">
      <c r="A302" s="1092"/>
      <c r="B302" s="1981" t="s">
        <v>731</v>
      </c>
      <c r="C302" s="1983"/>
      <c r="D302" s="1982" t="s">
        <v>729</v>
      </c>
      <c r="E302" s="1983"/>
      <c r="F302" s="1983"/>
      <c r="G302" s="1983"/>
      <c r="H302" s="2174"/>
      <c r="I302" s="1989"/>
      <c r="J302" s="1984"/>
      <c r="K302" s="1921"/>
    </row>
    <row r="303" spans="1:11" ht="15.75" thickBot="1">
      <c r="A303" s="1092"/>
      <c r="B303" s="1985"/>
      <c r="C303" s="1983"/>
      <c r="D303" s="1983" t="s">
        <v>730</v>
      </c>
      <c r="E303" s="1983"/>
      <c r="F303" s="1983"/>
      <c r="G303" s="1983"/>
      <c r="H303" s="2174"/>
      <c r="I303" s="1989"/>
      <c r="J303" s="1984"/>
      <c r="K303" s="1921"/>
    </row>
    <row r="304" spans="1:11" ht="15.75" thickBot="1">
      <c r="A304" s="1092"/>
      <c r="B304" s="1985"/>
      <c r="C304" s="2005" t="s">
        <v>10</v>
      </c>
      <c r="D304" s="2006" t="s">
        <v>11</v>
      </c>
      <c r="E304" s="2006" t="s">
        <v>12</v>
      </c>
      <c r="F304" s="2006" t="s">
        <v>13</v>
      </c>
      <c r="G304" s="2006" t="s">
        <v>14</v>
      </c>
      <c r="H304" s="2125" t="s">
        <v>1835</v>
      </c>
      <c r="I304" s="2008">
        <f>$G$17</f>
        <v>0.27</v>
      </c>
      <c r="J304" s="2007" t="s">
        <v>1834</v>
      </c>
      <c r="K304" s="1921"/>
    </row>
    <row r="305" spans="1:11">
      <c r="A305" s="1092"/>
      <c r="B305" s="1985"/>
      <c r="C305" s="2002" t="s">
        <v>1676</v>
      </c>
      <c r="D305" s="2003" t="s">
        <v>190</v>
      </c>
      <c r="E305" s="2004">
        <v>92</v>
      </c>
      <c r="F305" s="2003">
        <v>50</v>
      </c>
      <c r="G305" s="2004">
        <v>200</v>
      </c>
      <c r="H305" s="2154">
        <v>179.99999999999997</v>
      </c>
      <c r="I305" s="2115">
        <f>H305-H305*$I$213</f>
        <v>131.39999999999998</v>
      </c>
      <c r="J305" s="2103">
        <f>H305*0.8</f>
        <v>143.99999999999997</v>
      </c>
      <c r="K305" s="1921"/>
    </row>
    <row r="306" spans="1:11">
      <c r="A306" s="1092"/>
      <c r="B306" s="1985"/>
      <c r="C306" s="1999" t="s">
        <v>1675</v>
      </c>
      <c r="D306" s="2000" t="s">
        <v>192</v>
      </c>
      <c r="E306" s="2001">
        <v>145</v>
      </c>
      <c r="F306" s="2000">
        <v>25</v>
      </c>
      <c r="G306" s="2001">
        <v>100</v>
      </c>
      <c r="H306" s="2155">
        <v>307.27272727272725</v>
      </c>
      <c r="I306" s="2115">
        <f>H306-H306*$I$213</f>
        <v>224.30909090909088</v>
      </c>
      <c r="J306" s="2104">
        <f>H306*0.8</f>
        <v>245.81818181818181</v>
      </c>
      <c r="K306" s="1921"/>
    </row>
    <row r="307" spans="1:11">
      <c r="A307" s="1092"/>
      <c r="B307" s="1981" t="s">
        <v>34</v>
      </c>
      <c r="C307" s="1983"/>
      <c r="D307" s="1982" t="s">
        <v>35</v>
      </c>
      <c r="E307" s="1983"/>
      <c r="F307" s="1983"/>
      <c r="G307" s="1983"/>
      <c r="H307" s="2174"/>
      <c r="I307" s="1989"/>
      <c r="J307" s="1984"/>
      <c r="K307" s="1921"/>
    </row>
    <row r="308" spans="1:11" ht="15.75" thickBot="1">
      <c r="A308" s="1092"/>
      <c r="B308" s="1985"/>
      <c r="C308" s="1982"/>
      <c r="D308" s="1983" t="s">
        <v>27</v>
      </c>
      <c r="E308" s="1983"/>
      <c r="F308" s="1983"/>
      <c r="G308" s="2055"/>
      <c r="H308" s="2176"/>
      <c r="I308" s="1989"/>
      <c r="J308" s="1984"/>
      <c r="K308" s="1921"/>
    </row>
    <row r="309" spans="1:11" ht="15.75" thickBot="1">
      <c r="A309" s="1092"/>
      <c r="B309" s="1985"/>
      <c r="C309" s="2005" t="s">
        <v>10</v>
      </c>
      <c r="D309" s="2006" t="s">
        <v>11</v>
      </c>
      <c r="E309" s="2006" t="s">
        <v>12</v>
      </c>
      <c r="F309" s="2006" t="s">
        <v>13</v>
      </c>
      <c r="G309" s="2006" t="s">
        <v>14</v>
      </c>
      <c r="H309" s="2125" t="s">
        <v>1835</v>
      </c>
      <c r="I309" s="2008">
        <f>$G$17</f>
        <v>0.27</v>
      </c>
      <c r="J309" s="2007" t="s">
        <v>1834</v>
      </c>
      <c r="K309" s="1921"/>
    </row>
    <row r="310" spans="1:11">
      <c r="A310" s="1092"/>
      <c r="B310" s="1985"/>
      <c r="C310" s="2002" t="s">
        <v>241</v>
      </c>
      <c r="D310" s="2003" t="s">
        <v>190</v>
      </c>
      <c r="E310" s="2004">
        <v>25</v>
      </c>
      <c r="F310" s="2003">
        <v>10</v>
      </c>
      <c r="G310" s="2004">
        <v>800</v>
      </c>
      <c r="H310" s="2154">
        <v>53.636363636363633</v>
      </c>
      <c r="I310" s="2115">
        <f t="shared" ref="I310:I315" si="28">H310-H310*$I$213</f>
        <v>39.154545454545449</v>
      </c>
      <c r="J310" s="2103">
        <f t="shared" ref="J310:J315" si="29">H310*0.8</f>
        <v>42.909090909090907</v>
      </c>
      <c r="K310" s="1921"/>
    </row>
    <row r="311" spans="1:11">
      <c r="A311" s="1092"/>
      <c r="B311" s="1987"/>
      <c r="C311" s="1999" t="s">
        <v>242</v>
      </c>
      <c r="D311" s="2000" t="s">
        <v>192</v>
      </c>
      <c r="E311" s="2001">
        <v>45</v>
      </c>
      <c r="F311" s="2000">
        <v>10</v>
      </c>
      <c r="G311" s="2001">
        <v>350</v>
      </c>
      <c r="H311" s="2155">
        <v>99.999999999999986</v>
      </c>
      <c r="I311" s="2115">
        <f t="shared" si="28"/>
        <v>72.999999999999986</v>
      </c>
      <c r="J311" s="2104">
        <f t="shared" si="29"/>
        <v>80</v>
      </c>
      <c r="K311" s="1921"/>
    </row>
    <row r="312" spans="1:11">
      <c r="A312" s="1092"/>
      <c r="B312" s="1985"/>
      <c r="C312" s="2002" t="s">
        <v>243</v>
      </c>
      <c r="D312" s="2003" t="s">
        <v>194</v>
      </c>
      <c r="E312" s="2004">
        <v>70</v>
      </c>
      <c r="F312" s="2003">
        <v>10</v>
      </c>
      <c r="G312" s="2004">
        <v>150</v>
      </c>
      <c r="H312" s="2154">
        <v>154.54545454545453</v>
      </c>
      <c r="I312" s="2115">
        <f t="shared" si="28"/>
        <v>112.81818181818181</v>
      </c>
      <c r="J312" s="2103">
        <f t="shared" si="29"/>
        <v>123.63636363636363</v>
      </c>
      <c r="K312" s="1921"/>
    </row>
    <row r="313" spans="1:11">
      <c r="A313" s="1092"/>
      <c r="B313" s="1985"/>
      <c r="C313" s="1999" t="s">
        <v>244</v>
      </c>
      <c r="D313" s="2000" t="s">
        <v>209</v>
      </c>
      <c r="E313" s="2001">
        <v>92</v>
      </c>
      <c r="F313" s="2000">
        <v>8</v>
      </c>
      <c r="G313" s="2001">
        <v>80</v>
      </c>
      <c r="H313" s="2155">
        <v>201.81818181818181</v>
      </c>
      <c r="I313" s="2115">
        <f t="shared" si="28"/>
        <v>147.32727272727271</v>
      </c>
      <c r="J313" s="2104">
        <f t="shared" si="29"/>
        <v>161.45454545454547</v>
      </c>
      <c r="K313" s="1921"/>
    </row>
    <row r="314" spans="1:11">
      <c r="A314" s="1092"/>
      <c r="B314" s="1985"/>
      <c r="C314" s="2002" t="s">
        <v>1708</v>
      </c>
      <c r="D314" s="2003" t="s">
        <v>696</v>
      </c>
      <c r="E314" s="2004">
        <v>123</v>
      </c>
      <c r="F314" s="2003">
        <v>10</v>
      </c>
      <c r="G314" s="2004">
        <v>70</v>
      </c>
      <c r="H314" s="2154">
        <v>263.63636363636363</v>
      </c>
      <c r="I314" s="2115">
        <f t="shared" si="28"/>
        <v>192.45454545454544</v>
      </c>
      <c r="J314" s="2103">
        <f t="shared" si="29"/>
        <v>210.90909090909091</v>
      </c>
      <c r="K314" s="1921"/>
    </row>
    <row r="315" spans="1:11">
      <c r="A315" s="1092"/>
      <c r="B315" s="1985"/>
      <c r="C315" s="1999" t="s">
        <v>1707</v>
      </c>
      <c r="D315" s="2000" t="s">
        <v>702</v>
      </c>
      <c r="E315" s="2001">
        <v>175</v>
      </c>
      <c r="F315" s="2000">
        <v>10</v>
      </c>
      <c r="G315" s="2001">
        <v>40</v>
      </c>
      <c r="H315" s="2155">
        <v>379.99999999999994</v>
      </c>
      <c r="I315" s="2115">
        <f t="shared" si="28"/>
        <v>277.39999999999998</v>
      </c>
      <c r="J315" s="2104">
        <f t="shared" si="29"/>
        <v>303.99999999999994</v>
      </c>
      <c r="K315" s="1921"/>
    </row>
    <row r="316" spans="1:11">
      <c r="A316" s="1092"/>
      <c r="B316" s="1981" t="s">
        <v>714</v>
      </c>
      <c r="C316" s="1996"/>
      <c r="D316" s="1982" t="s">
        <v>721</v>
      </c>
      <c r="E316" s="1983"/>
      <c r="F316" s="814"/>
      <c r="G316" s="814"/>
      <c r="H316" s="2175"/>
      <c r="I316" s="1989"/>
      <c r="J316" s="1984"/>
      <c r="K316" s="1921"/>
    </row>
    <row r="317" spans="1:11" ht="15.75" thickBot="1">
      <c r="A317" s="1092"/>
      <c r="B317" s="1985"/>
      <c r="C317" s="1996"/>
      <c r="D317" s="1983" t="s">
        <v>27</v>
      </c>
      <c r="E317" s="1983"/>
      <c r="F317" s="814"/>
      <c r="G317" s="814"/>
      <c r="H317" s="2175"/>
      <c r="I317" s="1989"/>
      <c r="J317" s="1984"/>
      <c r="K317" s="1921"/>
    </row>
    <row r="318" spans="1:11" ht="15.75" thickBot="1">
      <c r="A318" s="1092"/>
      <c r="B318" s="1985"/>
      <c r="C318" s="2005" t="s">
        <v>10</v>
      </c>
      <c r="D318" s="2006" t="s">
        <v>11</v>
      </c>
      <c r="E318" s="2006" t="s">
        <v>12</v>
      </c>
      <c r="F318" s="2006" t="s">
        <v>13</v>
      </c>
      <c r="G318" s="2006" t="s">
        <v>14</v>
      </c>
      <c r="H318" s="2125" t="s">
        <v>1835</v>
      </c>
      <c r="I318" s="2008">
        <f>$G$17</f>
        <v>0.27</v>
      </c>
      <c r="J318" s="2007" t="s">
        <v>1834</v>
      </c>
      <c r="K318" s="1921"/>
    </row>
    <row r="319" spans="1:11">
      <c r="A319" s="1092"/>
      <c r="B319" s="1985"/>
      <c r="C319" s="2002" t="s">
        <v>1685</v>
      </c>
      <c r="D319" s="2003" t="s">
        <v>715</v>
      </c>
      <c r="E319" s="2004">
        <v>65</v>
      </c>
      <c r="F319" s="2003">
        <v>80</v>
      </c>
      <c r="G319" s="2004">
        <v>320</v>
      </c>
      <c r="H319" s="2154">
        <v>149.09090909090907</v>
      </c>
      <c r="I319" s="2115">
        <f t="shared" ref="I319:I320" si="30">H319-H319*$I$213</f>
        <v>108.83636363636361</v>
      </c>
      <c r="J319" s="2103">
        <f>H319*0.8</f>
        <v>119.27272727272725</v>
      </c>
      <c r="K319" s="1921"/>
    </row>
    <row r="320" spans="1:11">
      <c r="A320" s="1092"/>
      <c r="B320" s="1985"/>
      <c r="C320" s="1999" t="s">
        <v>1640</v>
      </c>
      <c r="D320" s="2000" t="s">
        <v>716</v>
      </c>
      <c r="E320" s="2001">
        <v>95</v>
      </c>
      <c r="F320" s="2000">
        <v>60</v>
      </c>
      <c r="G320" s="2001">
        <v>240</v>
      </c>
      <c r="H320" s="2155">
        <v>216.36363636363635</v>
      </c>
      <c r="I320" s="2115">
        <f t="shared" si="30"/>
        <v>157.94545454545454</v>
      </c>
      <c r="J320" s="2104">
        <f>H320*0.8</f>
        <v>173.09090909090909</v>
      </c>
      <c r="K320" s="1921"/>
    </row>
    <row r="321" spans="1:11">
      <c r="A321" s="1092"/>
      <c r="B321" s="1985"/>
      <c r="C321" s="2002" t="s">
        <v>1684</v>
      </c>
      <c r="D321" s="2003" t="s">
        <v>717</v>
      </c>
      <c r="E321" s="2004">
        <v>120</v>
      </c>
      <c r="F321" s="2003">
        <v>50</v>
      </c>
      <c r="G321" s="2004">
        <v>200</v>
      </c>
      <c r="H321" s="2166">
        <v>83</v>
      </c>
      <c r="I321" s="2188" t="s">
        <v>1825</v>
      </c>
      <c r="J321" s="2188"/>
      <c r="K321" s="1921"/>
    </row>
    <row r="322" spans="1:11">
      <c r="A322" s="1092"/>
      <c r="B322" s="1985"/>
      <c r="C322" s="1999" t="s">
        <v>1551</v>
      </c>
      <c r="D322" s="2000" t="s">
        <v>718</v>
      </c>
      <c r="E322" s="2001">
        <v>180</v>
      </c>
      <c r="F322" s="2000">
        <v>50</v>
      </c>
      <c r="G322" s="2001">
        <v>150</v>
      </c>
      <c r="H322" s="2179">
        <v>146</v>
      </c>
      <c r="I322" s="2188" t="s">
        <v>1825</v>
      </c>
      <c r="J322" s="2188"/>
      <c r="K322" s="1921"/>
    </row>
    <row r="323" spans="1:11">
      <c r="A323" s="1092"/>
      <c r="B323" s="1985"/>
      <c r="C323" s="2002" t="s">
        <v>1682</v>
      </c>
      <c r="D323" s="2003" t="s">
        <v>719</v>
      </c>
      <c r="E323" s="2004">
        <v>300</v>
      </c>
      <c r="F323" s="2003">
        <v>25</v>
      </c>
      <c r="G323" s="2004">
        <v>100</v>
      </c>
      <c r="H323" s="2166">
        <v>222</v>
      </c>
      <c r="I323" s="2188" t="s">
        <v>1825</v>
      </c>
      <c r="J323" s="2188"/>
      <c r="K323" s="1921"/>
    </row>
    <row r="324" spans="1:11">
      <c r="A324" s="1092"/>
      <c r="B324" s="1981" t="s">
        <v>725</v>
      </c>
      <c r="C324" s="1996"/>
      <c r="D324" s="1982" t="s">
        <v>1790</v>
      </c>
      <c r="E324" s="1983"/>
      <c r="F324" s="1983"/>
      <c r="G324" s="1983"/>
      <c r="H324" s="2175"/>
      <c r="I324" s="1989"/>
      <c r="J324" s="1984"/>
      <c r="K324" s="1921"/>
    </row>
    <row r="325" spans="1:11" ht="15.75" thickBot="1">
      <c r="A325" s="1092"/>
      <c r="B325" s="1092"/>
      <c r="C325" s="1996"/>
      <c r="D325" s="2057" t="s">
        <v>27</v>
      </c>
      <c r="E325" s="2058"/>
      <c r="F325" s="2058"/>
      <c r="G325" s="2058"/>
      <c r="H325" s="2175"/>
      <c r="I325" s="1989"/>
      <c r="J325" s="1984"/>
      <c r="K325" s="1921"/>
    </row>
    <row r="326" spans="1:11" ht="15.75" thickBot="1">
      <c r="A326" s="1092"/>
      <c r="B326" s="1985"/>
      <c r="C326" s="2005" t="s">
        <v>10</v>
      </c>
      <c r="D326" s="2006" t="s">
        <v>11</v>
      </c>
      <c r="E326" s="2006" t="s">
        <v>12</v>
      </c>
      <c r="F326" s="2006" t="s">
        <v>13</v>
      </c>
      <c r="G326" s="2006" t="s">
        <v>14</v>
      </c>
      <c r="H326" s="2125" t="s">
        <v>1835</v>
      </c>
      <c r="I326" s="2007"/>
      <c r="J326" s="2007"/>
      <c r="K326" s="1921"/>
    </row>
    <row r="327" spans="1:11">
      <c r="A327" s="1092"/>
      <c r="B327" s="1985"/>
      <c r="C327" s="1999" t="s">
        <v>1672</v>
      </c>
      <c r="D327" s="2000" t="s">
        <v>717</v>
      </c>
      <c r="E327" s="2001">
        <v>100</v>
      </c>
      <c r="F327" s="2000">
        <v>50</v>
      </c>
      <c r="G327" s="2001">
        <v>200</v>
      </c>
      <c r="H327" s="2179">
        <v>74</v>
      </c>
      <c r="I327" s="2188" t="s">
        <v>1825</v>
      </c>
      <c r="J327" s="2188"/>
      <c r="K327" s="1921"/>
    </row>
    <row r="328" spans="1:11">
      <c r="A328" s="1092"/>
      <c r="B328" s="1985"/>
      <c r="C328" s="2002" t="s">
        <v>1671</v>
      </c>
      <c r="D328" s="2003" t="s">
        <v>722</v>
      </c>
      <c r="E328" s="2004">
        <v>160</v>
      </c>
      <c r="F328" s="2003">
        <v>50</v>
      </c>
      <c r="G328" s="2004">
        <v>150</v>
      </c>
      <c r="H328" s="2166">
        <v>97</v>
      </c>
      <c r="I328" s="2188" t="s">
        <v>1825</v>
      </c>
      <c r="J328" s="2188"/>
      <c r="K328" s="1921"/>
    </row>
    <row r="329" spans="1:11">
      <c r="A329" s="1092"/>
      <c r="B329" s="1985"/>
      <c r="C329" s="1999" t="s">
        <v>1670</v>
      </c>
      <c r="D329" s="2000" t="s">
        <v>723</v>
      </c>
      <c r="E329" s="2001">
        <v>230</v>
      </c>
      <c r="F329" s="2000">
        <v>30</v>
      </c>
      <c r="G329" s="2001">
        <v>120</v>
      </c>
      <c r="H329" s="2179">
        <v>151</v>
      </c>
      <c r="I329" s="2188" t="s">
        <v>1825</v>
      </c>
      <c r="J329" s="2188"/>
      <c r="K329" s="1921"/>
    </row>
    <row r="330" spans="1:11">
      <c r="A330" s="1092"/>
      <c r="B330" s="1985"/>
      <c r="C330" s="2002" t="s">
        <v>1669</v>
      </c>
      <c r="D330" s="2003" t="s">
        <v>724</v>
      </c>
      <c r="E330" s="2004">
        <v>290</v>
      </c>
      <c r="F330" s="2003">
        <v>25</v>
      </c>
      <c r="G330" s="2004">
        <v>100</v>
      </c>
      <c r="H330" s="2166">
        <v>237</v>
      </c>
      <c r="I330" s="2188" t="s">
        <v>1825</v>
      </c>
      <c r="J330" s="2188"/>
      <c r="K330" s="1921"/>
    </row>
    <row r="331" spans="1:11">
      <c r="A331" s="1092"/>
      <c r="B331" s="1985"/>
      <c r="C331" s="1983"/>
      <c r="D331" s="1982" t="s">
        <v>37</v>
      </c>
      <c r="E331" s="1983"/>
      <c r="F331" s="1983"/>
      <c r="G331" s="1983"/>
      <c r="H331" s="2174"/>
      <c r="I331" s="1989"/>
      <c r="J331" s="1984"/>
      <c r="K331" s="1921"/>
    </row>
    <row r="332" spans="1:11" ht="15.75" thickBot="1">
      <c r="A332" s="1092"/>
      <c r="B332" s="1981" t="s">
        <v>36</v>
      </c>
      <c r="C332" s="1982"/>
      <c r="D332" s="1983" t="s">
        <v>25</v>
      </c>
      <c r="E332" s="1983"/>
      <c r="F332" s="1983"/>
      <c r="G332" s="1983"/>
      <c r="H332" s="2174"/>
      <c r="I332" s="1989"/>
      <c r="J332" s="1984"/>
      <c r="K332" s="1921"/>
    </row>
    <row r="333" spans="1:11" ht="15.75" thickBot="1">
      <c r="A333" s="1092"/>
      <c r="B333" s="1985"/>
      <c r="C333" s="2005" t="s">
        <v>10</v>
      </c>
      <c r="D333" s="2006" t="s">
        <v>11</v>
      </c>
      <c r="E333" s="2006" t="s">
        <v>12</v>
      </c>
      <c r="F333" s="2006" t="s">
        <v>13</v>
      </c>
      <c r="G333" s="2006" t="s">
        <v>14</v>
      </c>
      <c r="H333" s="2125" t="s">
        <v>1835</v>
      </c>
      <c r="I333" s="2008">
        <f>$G$17</f>
        <v>0.27</v>
      </c>
      <c r="J333" s="2007" t="s">
        <v>1834</v>
      </c>
      <c r="K333" s="1921"/>
    </row>
    <row r="334" spans="1:11">
      <c r="A334" s="1092"/>
      <c r="B334" s="1985"/>
      <c r="C334" s="2002" t="s">
        <v>1628</v>
      </c>
      <c r="D334" s="2003" t="s">
        <v>246</v>
      </c>
      <c r="E334" s="2004">
        <v>25</v>
      </c>
      <c r="F334" s="2003">
        <v>25</v>
      </c>
      <c r="G334" s="2004">
        <v>750</v>
      </c>
      <c r="H334" s="2154">
        <v>53.636363636363633</v>
      </c>
      <c r="I334" s="2115">
        <f t="shared" ref="I334:I339" si="31">H334-H334*$I$213</f>
        <v>39.154545454545449</v>
      </c>
      <c r="J334" s="2103">
        <f t="shared" ref="J334:J339" si="32">H334*0.8</f>
        <v>42.909090909090907</v>
      </c>
      <c r="K334" s="1921"/>
    </row>
    <row r="335" spans="1:11">
      <c r="A335" s="1092"/>
      <c r="B335" s="1987"/>
      <c r="C335" s="1999" t="s">
        <v>1629</v>
      </c>
      <c r="D335" s="2000" t="s">
        <v>248</v>
      </c>
      <c r="E335" s="2001">
        <v>38</v>
      </c>
      <c r="F335" s="2000">
        <v>20</v>
      </c>
      <c r="G335" s="2001">
        <v>500</v>
      </c>
      <c r="H335" s="2155">
        <v>80</v>
      </c>
      <c r="I335" s="2115">
        <f t="shared" si="31"/>
        <v>58.4</v>
      </c>
      <c r="J335" s="2104">
        <f t="shared" si="32"/>
        <v>64</v>
      </c>
      <c r="K335" s="1921"/>
    </row>
    <row r="336" spans="1:11">
      <c r="A336" s="1092"/>
      <c r="B336" s="1985"/>
      <c r="C336" s="2002" t="s">
        <v>1630</v>
      </c>
      <c r="D336" s="2003" t="s">
        <v>250</v>
      </c>
      <c r="E336" s="2004">
        <v>47</v>
      </c>
      <c r="F336" s="2003">
        <v>20</v>
      </c>
      <c r="G336" s="2004">
        <v>500</v>
      </c>
      <c r="H336" s="2154">
        <v>98.181818181818173</v>
      </c>
      <c r="I336" s="2115">
        <f t="shared" si="31"/>
        <v>71.672727272727258</v>
      </c>
      <c r="J336" s="2103">
        <f t="shared" si="32"/>
        <v>78.545454545454547</v>
      </c>
      <c r="K336" s="1921"/>
    </row>
    <row r="337" spans="1:11">
      <c r="A337" s="1092"/>
      <c r="B337" s="1985"/>
      <c r="C337" s="1999" t="s">
        <v>1631</v>
      </c>
      <c r="D337" s="2000" t="s">
        <v>252</v>
      </c>
      <c r="E337" s="2001">
        <v>56</v>
      </c>
      <c r="F337" s="2000">
        <v>10</v>
      </c>
      <c r="G337" s="2001">
        <v>350</v>
      </c>
      <c r="H337" s="2155">
        <v>118.18181818181817</v>
      </c>
      <c r="I337" s="2115">
        <f t="shared" si="31"/>
        <v>86.272727272727266</v>
      </c>
      <c r="J337" s="2104">
        <f t="shared" si="32"/>
        <v>94.545454545454547</v>
      </c>
      <c r="K337" s="1921"/>
    </row>
    <row r="338" spans="1:11">
      <c r="A338" s="1092"/>
      <c r="B338" s="1985"/>
      <c r="C338" s="2002" t="s">
        <v>1632</v>
      </c>
      <c r="D338" s="2003" t="s">
        <v>254</v>
      </c>
      <c r="E338" s="2004">
        <v>65</v>
      </c>
      <c r="F338" s="2003">
        <v>10</v>
      </c>
      <c r="G338" s="2004">
        <v>350</v>
      </c>
      <c r="H338" s="2154">
        <v>143.63636363636363</v>
      </c>
      <c r="I338" s="2115">
        <f t="shared" si="31"/>
        <v>104.85454545454544</v>
      </c>
      <c r="J338" s="2103">
        <f t="shared" si="32"/>
        <v>114.90909090909091</v>
      </c>
      <c r="K338" s="1921"/>
    </row>
    <row r="339" spans="1:11">
      <c r="A339" s="1092"/>
      <c r="B339" s="1985"/>
      <c r="C339" s="1999" t="s">
        <v>1633</v>
      </c>
      <c r="D339" s="2000" t="s">
        <v>256</v>
      </c>
      <c r="E339" s="2001">
        <v>74</v>
      </c>
      <c r="F339" s="2000">
        <v>10</v>
      </c>
      <c r="G339" s="2001">
        <v>250</v>
      </c>
      <c r="H339" s="2155">
        <v>161.81818181818181</v>
      </c>
      <c r="I339" s="2115">
        <f t="shared" si="31"/>
        <v>118.12727272727273</v>
      </c>
      <c r="J339" s="2104">
        <f t="shared" si="32"/>
        <v>129.45454545454547</v>
      </c>
      <c r="K339" s="1921"/>
    </row>
    <row r="340" spans="1:11">
      <c r="A340" s="1092"/>
      <c r="B340" s="1981" t="s">
        <v>912</v>
      </c>
      <c r="C340" s="2059"/>
      <c r="D340" s="1982" t="s">
        <v>38</v>
      </c>
      <c r="E340" s="1983"/>
      <c r="F340" s="1983"/>
      <c r="G340" s="1983"/>
      <c r="H340" s="2174"/>
      <c r="I340" s="1989"/>
      <c r="J340" s="1984"/>
      <c r="K340" s="1921"/>
    </row>
    <row r="341" spans="1:11" ht="15.75" thickBot="1">
      <c r="A341" s="1092"/>
      <c r="B341" s="1985"/>
      <c r="C341" s="1982"/>
      <c r="D341" s="1983" t="s">
        <v>27</v>
      </c>
      <c r="E341" s="1983"/>
      <c r="F341" s="1983"/>
      <c r="G341" s="1983"/>
      <c r="H341" s="2174"/>
      <c r="I341" s="1989"/>
      <c r="J341" s="1984"/>
      <c r="K341" s="1921"/>
    </row>
    <row r="342" spans="1:11" ht="15.75" thickBot="1">
      <c r="A342" s="1092"/>
      <c r="B342" s="1985"/>
      <c r="C342" s="2005" t="s">
        <v>10</v>
      </c>
      <c r="D342" s="2006" t="s">
        <v>11</v>
      </c>
      <c r="E342" s="2006" t="s">
        <v>12</v>
      </c>
      <c r="F342" s="2006" t="s">
        <v>13</v>
      </c>
      <c r="G342" s="2006" t="s">
        <v>14</v>
      </c>
      <c r="H342" s="2125" t="s">
        <v>1835</v>
      </c>
      <c r="I342" s="2008">
        <f>$G$17</f>
        <v>0.27</v>
      </c>
      <c r="J342" s="2007" t="s">
        <v>1834</v>
      </c>
      <c r="K342" s="1921"/>
    </row>
    <row r="343" spans="1:11">
      <c r="A343" s="1092"/>
      <c r="B343" s="1985"/>
      <c r="C343" s="2002" t="s">
        <v>870</v>
      </c>
      <c r="D343" s="2003" t="s">
        <v>1956</v>
      </c>
      <c r="E343" s="2004">
        <v>25</v>
      </c>
      <c r="F343" s="2003">
        <v>10</v>
      </c>
      <c r="G343" s="2004">
        <v>1000</v>
      </c>
      <c r="H343" s="2166">
        <v>11</v>
      </c>
      <c r="I343" s="2188" t="s">
        <v>1825</v>
      </c>
      <c r="J343" s="2188"/>
      <c r="K343" s="1921"/>
    </row>
    <row r="344" spans="1:11">
      <c r="A344" s="1092"/>
      <c r="B344" s="1985"/>
      <c r="C344" s="1999" t="s">
        <v>871</v>
      </c>
      <c r="D344" s="2000" t="s">
        <v>873</v>
      </c>
      <c r="E344" s="2001">
        <v>20</v>
      </c>
      <c r="F344" s="2000">
        <v>10</v>
      </c>
      <c r="G344" s="2001">
        <v>1000</v>
      </c>
      <c r="H344" s="2155">
        <v>45.454545454545453</v>
      </c>
      <c r="I344" s="2115">
        <f>H344-H344*$I$342</f>
        <v>33.18181818181818</v>
      </c>
      <c r="J344" s="2104">
        <f t="shared" ref="J344:J355" si="33">H344*0.8</f>
        <v>36.363636363636367</v>
      </c>
      <c r="K344" s="1921"/>
    </row>
    <row r="345" spans="1:11">
      <c r="A345" s="1092"/>
      <c r="B345" s="1985"/>
      <c r="C345" s="2002" t="s">
        <v>705</v>
      </c>
      <c r="D345" s="2003" t="s">
        <v>706</v>
      </c>
      <c r="E345" s="2004">
        <v>25</v>
      </c>
      <c r="F345" s="2003">
        <v>10</v>
      </c>
      <c r="G345" s="2004">
        <v>1000</v>
      </c>
      <c r="H345" s="2154">
        <v>54.36363636363636</v>
      </c>
      <c r="I345" s="2115">
        <f t="shared" ref="I345:I355" si="34">H345-H345*$I$342</f>
        <v>39.68545454545454</v>
      </c>
      <c r="J345" s="2103">
        <f t="shared" si="33"/>
        <v>43.490909090909092</v>
      </c>
      <c r="K345" s="1921"/>
    </row>
    <row r="346" spans="1:11">
      <c r="A346" s="1092"/>
      <c r="B346" s="1985"/>
      <c r="C346" s="1999" t="s">
        <v>1523</v>
      </c>
      <c r="D346" s="2000" t="s">
        <v>211</v>
      </c>
      <c r="E346" s="2001">
        <v>42</v>
      </c>
      <c r="F346" s="2000">
        <v>10</v>
      </c>
      <c r="G346" s="2001">
        <v>600</v>
      </c>
      <c r="H346" s="2155">
        <v>85.454545454545453</v>
      </c>
      <c r="I346" s="2115">
        <f t="shared" si="34"/>
        <v>62.381818181818176</v>
      </c>
      <c r="J346" s="2104">
        <f t="shared" si="33"/>
        <v>68.36363636363636</v>
      </c>
      <c r="K346" s="1921"/>
    </row>
    <row r="347" spans="1:11">
      <c r="A347" s="1092"/>
      <c r="B347" s="1985"/>
      <c r="C347" s="2002" t="s">
        <v>1524</v>
      </c>
      <c r="D347" s="2003" t="s">
        <v>213</v>
      </c>
      <c r="E347" s="2004">
        <v>66</v>
      </c>
      <c r="F347" s="2003">
        <v>10</v>
      </c>
      <c r="G347" s="2004">
        <v>800</v>
      </c>
      <c r="H347" s="2154">
        <v>136.36363636363635</v>
      </c>
      <c r="I347" s="2115">
        <f t="shared" si="34"/>
        <v>99.545454545454533</v>
      </c>
      <c r="J347" s="2103">
        <f t="shared" si="33"/>
        <v>109.09090909090908</v>
      </c>
      <c r="K347" s="1921"/>
    </row>
    <row r="348" spans="1:11">
      <c r="A348" s="1092"/>
      <c r="B348" s="1985"/>
      <c r="C348" s="1999" t="s">
        <v>1525</v>
      </c>
      <c r="D348" s="2000" t="s">
        <v>215</v>
      </c>
      <c r="E348" s="2001">
        <v>68</v>
      </c>
      <c r="F348" s="2000">
        <v>20</v>
      </c>
      <c r="G348" s="2001">
        <v>600</v>
      </c>
      <c r="H348" s="2155">
        <v>143.63636363636363</v>
      </c>
      <c r="I348" s="2115">
        <f t="shared" si="34"/>
        <v>104.85454545454544</v>
      </c>
      <c r="J348" s="2104">
        <f t="shared" si="33"/>
        <v>114.90909090909091</v>
      </c>
      <c r="K348" s="1921"/>
    </row>
    <row r="349" spans="1:11">
      <c r="A349" s="1092"/>
      <c r="B349" s="1987"/>
      <c r="C349" s="2002" t="s">
        <v>1530</v>
      </c>
      <c r="D349" s="2003" t="s">
        <v>698</v>
      </c>
      <c r="E349" s="2004">
        <v>150</v>
      </c>
      <c r="F349" s="2003">
        <v>10</v>
      </c>
      <c r="G349" s="2004">
        <v>200</v>
      </c>
      <c r="H349" s="2166">
        <v>100</v>
      </c>
      <c r="I349" s="2188" t="s">
        <v>1825</v>
      </c>
      <c r="J349" s="2188"/>
      <c r="K349" s="1921"/>
    </row>
    <row r="350" spans="1:11">
      <c r="A350" s="1092"/>
      <c r="B350" s="1985"/>
      <c r="C350" s="1999" t="s">
        <v>1526</v>
      </c>
      <c r="D350" s="2000" t="s">
        <v>217</v>
      </c>
      <c r="E350" s="2001">
        <v>136</v>
      </c>
      <c r="F350" s="2000">
        <v>10</v>
      </c>
      <c r="G350" s="2001">
        <v>200</v>
      </c>
      <c r="H350" s="2155">
        <v>276.36363636363632</v>
      </c>
      <c r="I350" s="2115">
        <f t="shared" si="34"/>
        <v>201.74545454545449</v>
      </c>
      <c r="J350" s="2104">
        <f t="shared" si="33"/>
        <v>221.09090909090907</v>
      </c>
      <c r="K350" s="1921"/>
    </row>
    <row r="351" spans="1:11">
      <c r="A351" s="1092"/>
      <c r="B351" s="1985"/>
      <c r="C351" s="2002" t="s">
        <v>1627</v>
      </c>
      <c r="D351" s="2003" t="s">
        <v>219</v>
      </c>
      <c r="E351" s="2004">
        <v>130</v>
      </c>
      <c r="F351" s="2003">
        <v>10</v>
      </c>
      <c r="G351" s="2004">
        <v>150</v>
      </c>
      <c r="H351" s="2154">
        <v>272.72727272727269</v>
      </c>
      <c r="I351" s="2115">
        <f t="shared" si="34"/>
        <v>199.09090909090907</v>
      </c>
      <c r="J351" s="2103">
        <f t="shared" si="33"/>
        <v>218.18181818181816</v>
      </c>
      <c r="K351" s="1921"/>
    </row>
    <row r="352" spans="1:11">
      <c r="A352" s="1092"/>
      <c r="B352" s="1985"/>
      <c r="C352" s="1999" t="s">
        <v>1529</v>
      </c>
      <c r="D352" s="2000" t="s">
        <v>881</v>
      </c>
      <c r="E352" s="2001">
        <v>150</v>
      </c>
      <c r="F352" s="2000">
        <v>10</v>
      </c>
      <c r="G352" s="2001">
        <v>150</v>
      </c>
      <c r="H352" s="2155">
        <v>379.99999999999994</v>
      </c>
      <c r="I352" s="2115">
        <f t="shared" si="34"/>
        <v>277.39999999999998</v>
      </c>
      <c r="J352" s="2104">
        <f t="shared" si="33"/>
        <v>303.99999999999994</v>
      </c>
      <c r="K352" s="1921"/>
    </row>
    <row r="353" spans="1:11">
      <c r="A353" s="1092"/>
      <c r="B353" s="1985"/>
      <c r="C353" s="2002" t="s">
        <v>1528</v>
      </c>
      <c r="D353" s="2003" t="s">
        <v>883</v>
      </c>
      <c r="E353" s="2004">
        <v>170</v>
      </c>
      <c r="F353" s="2003">
        <v>10</v>
      </c>
      <c r="G353" s="2004">
        <v>150</v>
      </c>
      <c r="H353" s="2154">
        <v>336.36363636363632</v>
      </c>
      <c r="I353" s="2115">
        <f t="shared" si="34"/>
        <v>245.5454545454545</v>
      </c>
      <c r="J353" s="2103">
        <f t="shared" si="33"/>
        <v>269.09090909090907</v>
      </c>
      <c r="K353" s="1921"/>
    </row>
    <row r="354" spans="1:11">
      <c r="A354" s="1092"/>
      <c r="B354" s="1985"/>
      <c r="C354" s="1999" t="s">
        <v>1626</v>
      </c>
      <c r="D354" s="2000" t="s">
        <v>260</v>
      </c>
      <c r="E354" s="2001">
        <v>134</v>
      </c>
      <c r="F354" s="2000">
        <v>10</v>
      </c>
      <c r="G354" s="2001">
        <v>100</v>
      </c>
      <c r="H354" s="2155">
        <v>263.63636363636363</v>
      </c>
      <c r="I354" s="2115">
        <f t="shared" si="34"/>
        <v>192.45454545454544</v>
      </c>
      <c r="J354" s="2104">
        <f t="shared" si="33"/>
        <v>210.90909090909091</v>
      </c>
      <c r="K354" s="1921"/>
    </row>
    <row r="355" spans="1:11">
      <c r="A355" s="1092"/>
      <c r="B355" s="1985"/>
      <c r="C355" s="2002" t="s">
        <v>1532</v>
      </c>
      <c r="D355" s="2003" t="s">
        <v>884</v>
      </c>
      <c r="E355" s="2004">
        <v>273</v>
      </c>
      <c r="F355" s="2003">
        <v>10</v>
      </c>
      <c r="G355" s="2004">
        <v>100</v>
      </c>
      <c r="H355" s="2154">
        <v>527.27272727272725</v>
      </c>
      <c r="I355" s="2115">
        <f t="shared" si="34"/>
        <v>384.90909090909088</v>
      </c>
      <c r="J355" s="2103">
        <f t="shared" si="33"/>
        <v>421.81818181818181</v>
      </c>
      <c r="K355" s="1921"/>
    </row>
    <row r="356" spans="1:11">
      <c r="A356" s="1092"/>
      <c r="B356" s="1981" t="s">
        <v>992</v>
      </c>
      <c r="C356" s="1983"/>
      <c r="D356" s="1982" t="s">
        <v>988</v>
      </c>
      <c r="E356" s="2014"/>
      <c r="F356" s="2014"/>
      <c r="G356" s="1983"/>
      <c r="H356" s="2174"/>
      <c r="I356" s="1989"/>
      <c r="J356" s="1984"/>
      <c r="K356" s="1921"/>
    </row>
    <row r="357" spans="1:11" ht="15.75" thickBot="1">
      <c r="A357" s="1092"/>
      <c r="B357" s="1092"/>
      <c r="C357" s="1982"/>
      <c r="D357" s="1983" t="s">
        <v>699</v>
      </c>
      <c r="E357" s="1983"/>
      <c r="F357" s="1983"/>
      <c r="G357" s="2015"/>
      <c r="H357" s="2174"/>
      <c r="I357" s="1989"/>
      <c r="J357" s="1984"/>
      <c r="K357" s="1921"/>
    </row>
    <row r="358" spans="1:11" ht="15.75" thickBot="1">
      <c r="A358" s="1092"/>
      <c r="B358" s="2017"/>
      <c r="C358" s="2005" t="s">
        <v>10</v>
      </c>
      <c r="D358" s="2006" t="s">
        <v>11</v>
      </c>
      <c r="E358" s="2006" t="s">
        <v>12</v>
      </c>
      <c r="F358" s="2006" t="s">
        <v>13</v>
      </c>
      <c r="G358" s="2006" t="s">
        <v>14</v>
      </c>
      <c r="H358" s="2125" t="s">
        <v>1835</v>
      </c>
      <c r="I358" s="2007"/>
      <c r="J358" s="2007"/>
      <c r="K358" s="1921"/>
    </row>
    <row r="359" spans="1:11">
      <c r="A359" s="1092"/>
      <c r="B359" s="2017"/>
      <c r="C359" s="2002" t="s">
        <v>1504</v>
      </c>
      <c r="D359" s="2003" t="s">
        <v>1505</v>
      </c>
      <c r="E359" s="2004">
        <v>140</v>
      </c>
      <c r="F359" s="2003">
        <v>60</v>
      </c>
      <c r="G359" s="2004">
        <v>300</v>
      </c>
      <c r="H359" s="2166">
        <v>122</v>
      </c>
      <c r="I359" s="2188" t="s">
        <v>1825</v>
      </c>
      <c r="J359" s="2188"/>
      <c r="K359" s="1921"/>
    </row>
    <row r="360" spans="1:11">
      <c r="A360" s="1092"/>
      <c r="B360" s="1981" t="s">
        <v>911</v>
      </c>
      <c r="C360" s="1983"/>
      <c r="D360" s="1982" t="s">
        <v>39</v>
      </c>
      <c r="E360" s="1983"/>
      <c r="F360" s="1983"/>
      <c r="G360" s="1983"/>
      <c r="H360" s="2174"/>
      <c r="I360" s="1989"/>
      <c r="J360" s="1995" t="s">
        <v>1780</v>
      </c>
      <c r="K360" s="1921"/>
    </row>
    <row r="361" spans="1:11" ht="15.75" thickBot="1">
      <c r="A361" s="1092"/>
      <c r="B361" s="1985"/>
      <c r="C361" s="1982"/>
      <c r="D361" s="1983" t="s">
        <v>25</v>
      </c>
      <c r="E361" s="1983"/>
      <c r="F361" s="1983"/>
      <c r="G361" s="1983"/>
      <c r="H361" s="2174"/>
      <c r="I361" s="1989"/>
      <c r="J361" s="1984"/>
      <c r="K361" s="1921"/>
    </row>
    <row r="362" spans="1:11" ht="15.75" thickBot="1">
      <c r="A362" s="1092"/>
      <c r="B362" s="1985"/>
      <c r="C362" s="2005" t="s">
        <v>10</v>
      </c>
      <c r="D362" s="2006" t="s">
        <v>11</v>
      </c>
      <c r="E362" s="2006" t="s">
        <v>12</v>
      </c>
      <c r="F362" s="2006" t="s">
        <v>13</v>
      </c>
      <c r="G362" s="2006" t="s">
        <v>14</v>
      </c>
      <c r="H362" s="2125" t="s">
        <v>1835</v>
      </c>
      <c r="I362" s="2008">
        <f>$G$17</f>
        <v>0.27</v>
      </c>
      <c r="J362" s="2007" t="s">
        <v>1834</v>
      </c>
      <c r="K362" s="1921"/>
    </row>
    <row r="363" spans="1:11">
      <c r="A363" s="1092"/>
      <c r="B363" s="1985"/>
      <c r="C363" s="2002" t="s">
        <v>1535</v>
      </c>
      <c r="D363" s="2003" t="s">
        <v>891</v>
      </c>
      <c r="E363" s="2004">
        <v>25</v>
      </c>
      <c r="F363" s="2003">
        <v>10</v>
      </c>
      <c r="G363" s="2004">
        <v>1200</v>
      </c>
      <c r="H363" s="2154">
        <v>58.18181818181818</v>
      </c>
      <c r="I363" s="2115">
        <f>H363-H363*$I$362</f>
        <v>42.472727272727269</v>
      </c>
      <c r="J363" s="2103">
        <f t="shared" ref="J363:J373" si="35">H363*0.8</f>
        <v>46.545454545454547</v>
      </c>
      <c r="K363" s="1921"/>
    </row>
    <row r="364" spans="1:11">
      <c r="A364" s="1092"/>
      <c r="B364" s="1985"/>
      <c r="C364" s="1999" t="s">
        <v>1536</v>
      </c>
      <c r="D364" s="2000" t="s">
        <v>892</v>
      </c>
      <c r="E364" s="2001">
        <v>18</v>
      </c>
      <c r="F364" s="2000">
        <v>10</v>
      </c>
      <c r="G364" s="2001">
        <v>1000</v>
      </c>
      <c r="H364" s="2155">
        <v>45.454545454545453</v>
      </c>
      <c r="I364" s="2115">
        <f t="shared" ref="I364:I373" si="36">H364-H364*$I$362</f>
        <v>33.18181818181818</v>
      </c>
      <c r="J364" s="2104">
        <f t="shared" si="35"/>
        <v>36.363636363636367</v>
      </c>
      <c r="K364" s="1921"/>
    </row>
    <row r="365" spans="1:11">
      <c r="A365" s="1092"/>
      <c r="B365" s="1985"/>
      <c r="C365" s="2002" t="s">
        <v>1537</v>
      </c>
      <c r="D365" s="2003" t="s">
        <v>211</v>
      </c>
      <c r="E365" s="2004">
        <v>27</v>
      </c>
      <c r="F365" s="2003">
        <v>20</v>
      </c>
      <c r="G365" s="2004">
        <v>600</v>
      </c>
      <c r="H365" s="2154">
        <v>65.454545454545453</v>
      </c>
      <c r="I365" s="2115">
        <f t="shared" si="36"/>
        <v>47.781818181818181</v>
      </c>
      <c r="J365" s="2103">
        <f t="shared" si="35"/>
        <v>52.363636363636367</v>
      </c>
      <c r="K365" s="1921"/>
    </row>
    <row r="366" spans="1:11">
      <c r="A366" s="1092"/>
      <c r="B366" s="1987"/>
      <c r="C366" s="1999" t="s">
        <v>1538</v>
      </c>
      <c r="D366" s="2000" t="s">
        <v>213</v>
      </c>
      <c r="E366" s="2001">
        <v>68</v>
      </c>
      <c r="F366" s="2000">
        <v>10</v>
      </c>
      <c r="G366" s="2001">
        <v>200</v>
      </c>
      <c r="H366" s="2155">
        <v>149.09090909090907</v>
      </c>
      <c r="I366" s="2115">
        <f t="shared" si="36"/>
        <v>108.83636363636361</v>
      </c>
      <c r="J366" s="2104">
        <f t="shared" si="35"/>
        <v>119.27272727272725</v>
      </c>
      <c r="K366" s="1921"/>
    </row>
    <row r="367" spans="1:11">
      <c r="A367" s="1092"/>
      <c r="B367" s="1985"/>
      <c r="C367" s="2002" t="s">
        <v>1539</v>
      </c>
      <c r="D367" s="2003" t="s">
        <v>215</v>
      </c>
      <c r="E367" s="2004">
        <v>69</v>
      </c>
      <c r="F367" s="2003">
        <v>10</v>
      </c>
      <c r="G367" s="2004">
        <v>200</v>
      </c>
      <c r="H367" s="2154">
        <v>152.72727272727272</v>
      </c>
      <c r="I367" s="2115">
        <f t="shared" si="36"/>
        <v>111.49090909090908</v>
      </c>
      <c r="J367" s="2103">
        <f t="shared" si="35"/>
        <v>122.18181818181819</v>
      </c>
      <c r="K367" s="1921"/>
    </row>
    <row r="368" spans="1:11">
      <c r="A368" s="1092"/>
      <c r="B368" s="1985"/>
      <c r="C368" s="1999" t="s">
        <v>1542</v>
      </c>
      <c r="D368" s="2000" t="s">
        <v>217</v>
      </c>
      <c r="E368" s="2001">
        <v>119</v>
      </c>
      <c r="F368" s="2000">
        <v>10</v>
      </c>
      <c r="G368" s="2001">
        <v>150</v>
      </c>
      <c r="H368" s="2155">
        <v>301.81818181818181</v>
      </c>
      <c r="I368" s="2115">
        <f t="shared" si="36"/>
        <v>220.32727272727271</v>
      </c>
      <c r="J368" s="2104">
        <f t="shared" si="35"/>
        <v>241.45454545454547</v>
      </c>
      <c r="K368" s="1921"/>
    </row>
    <row r="369" spans="1:11">
      <c r="A369" s="1092"/>
      <c r="B369" s="1985"/>
      <c r="C369" s="2002" t="s">
        <v>1540</v>
      </c>
      <c r="D369" s="2003" t="s">
        <v>219</v>
      </c>
      <c r="E369" s="2004">
        <v>97</v>
      </c>
      <c r="F369" s="2003">
        <v>10</v>
      </c>
      <c r="G369" s="2004">
        <v>150</v>
      </c>
      <c r="H369" s="2154">
        <v>252.72727272727272</v>
      </c>
      <c r="I369" s="2115">
        <f t="shared" si="36"/>
        <v>184.4909090909091</v>
      </c>
      <c r="J369" s="2103">
        <f t="shared" si="35"/>
        <v>202.18181818181819</v>
      </c>
      <c r="K369" s="1921"/>
    </row>
    <row r="370" spans="1:11">
      <c r="A370" s="1092"/>
      <c r="B370" s="1985"/>
      <c r="C370" s="1999" t="s">
        <v>1541</v>
      </c>
      <c r="D370" s="2000" t="s">
        <v>698</v>
      </c>
      <c r="E370" s="2001">
        <v>148</v>
      </c>
      <c r="F370" s="2000">
        <v>10</v>
      </c>
      <c r="G370" s="2001">
        <v>100</v>
      </c>
      <c r="H370" s="2155">
        <v>218.18181818181816</v>
      </c>
      <c r="I370" s="2115">
        <f t="shared" si="36"/>
        <v>159.27272727272725</v>
      </c>
      <c r="J370" s="2104">
        <f t="shared" si="35"/>
        <v>174.54545454545453</v>
      </c>
      <c r="K370" s="1921"/>
    </row>
    <row r="371" spans="1:11">
      <c r="A371" s="1092"/>
      <c r="B371" s="1985"/>
      <c r="C371" s="2002" t="s">
        <v>1543</v>
      </c>
      <c r="D371" s="2003" t="s">
        <v>881</v>
      </c>
      <c r="E371" s="2004">
        <v>300</v>
      </c>
      <c r="F371" s="2003">
        <v>10</v>
      </c>
      <c r="G371" s="2004">
        <v>100</v>
      </c>
      <c r="H371" s="2154">
        <v>600</v>
      </c>
      <c r="I371" s="2115">
        <f t="shared" si="36"/>
        <v>438</v>
      </c>
      <c r="J371" s="2103">
        <f t="shared" si="35"/>
        <v>480</v>
      </c>
      <c r="K371" s="1921"/>
    </row>
    <row r="372" spans="1:11">
      <c r="A372" s="1092"/>
      <c r="B372" s="1985"/>
      <c r="C372" s="1999" t="s">
        <v>1547</v>
      </c>
      <c r="D372" s="2000" t="s">
        <v>882</v>
      </c>
      <c r="E372" s="2001">
        <v>244</v>
      </c>
      <c r="F372" s="2000">
        <v>10</v>
      </c>
      <c r="G372" s="2001">
        <v>100</v>
      </c>
      <c r="H372" s="2155">
        <v>454.5454545454545</v>
      </c>
      <c r="I372" s="2115">
        <f t="shared" si="36"/>
        <v>331.81818181818176</v>
      </c>
      <c r="J372" s="2104">
        <f t="shared" si="35"/>
        <v>363.63636363636363</v>
      </c>
      <c r="K372" s="1921"/>
    </row>
    <row r="373" spans="1:11">
      <c r="A373" s="1092"/>
      <c r="B373" s="1985"/>
      <c r="C373" s="2002" t="s">
        <v>1544</v>
      </c>
      <c r="D373" s="2003" t="s">
        <v>883</v>
      </c>
      <c r="E373" s="2004">
        <v>200</v>
      </c>
      <c r="F373" s="2003">
        <v>10</v>
      </c>
      <c r="G373" s="2004">
        <v>150</v>
      </c>
      <c r="H373" s="2154">
        <v>399.99999999999994</v>
      </c>
      <c r="I373" s="2115">
        <f t="shared" si="36"/>
        <v>291.99999999999994</v>
      </c>
      <c r="J373" s="2103">
        <f t="shared" si="35"/>
        <v>320</v>
      </c>
      <c r="K373" s="1921"/>
    </row>
    <row r="374" spans="1:11">
      <c r="A374" s="1092"/>
      <c r="B374" s="1981" t="s">
        <v>40</v>
      </c>
      <c r="C374" s="1983"/>
      <c r="D374" s="1982" t="s">
        <v>41</v>
      </c>
      <c r="E374" s="1983"/>
      <c r="F374" s="1983"/>
      <c r="G374" s="1983"/>
      <c r="H374" s="2174"/>
      <c r="I374" s="1989"/>
      <c r="J374" s="1984" t="s">
        <v>1649</v>
      </c>
      <c r="K374" s="1921"/>
    </row>
    <row r="375" spans="1:11" ht="15.75" thickBot="1">
      <c r="A375" s="1092"/>
      <c r="B375" s="1985"/>
      <c r="C375" s="1982"/>
      <c r="D375" s="1983" t="s">
        <v>42</v>
      </c>
      <c r="E375" s="1983"/>
      <c r="F375" s="1983"/>
      <c r="G375" s="1983"/>
      <c r="H375" s="2174"/>
      <c r="I375" s="1989"/>
      <c r="J375" s="1984" t="s">
        <v>1649</v>
      </c>
      <c r="K375" s="1921"/>
    </row>
    <row r="376" spans="1:11" ht="15.75" thickBot="1">
      <c r="A376" s="1092"/>
      <c r="B376" s="1985"/>
      <c r="C376" s="2005" t="s">
        <v>10</v>
      </c>
      <c r="D376" s="2006" t="s">
        <v>11</v>
      </c>
      <c r="E376" s="2006" t="s">
        <v>12</v>
      </c>
      <c r="F376" s="2006" t="s">
        <v>13</v>
      </c>
      <c r="G376" s="2006" t="s">
        <v>14</v>
      </c>
      <c r="H376" s="2125" t="s">
        <v>1835</v>
      </c>
      <c r="I376" s="2008">
        <f>$G$17</f>
        <v>0.27</v>
      </c>
      <c r="J376" s="2007" t="s">
        <v>1834</v>
      </c>
      <c r="K376" s="1921"/>
    </row>
    <row r="377" spans="1:11">
      <c r="A377" s="1092"/>
      <c r="B377" s="1985"/>
      <c r="C377" s="2002" t="s">
        <v>265</v>
      </c>
      <c r="D377" s="2003" t="s">
        <v>190</v>
      </c>
      <c r="E377" s="2004">
        <v>18</v>
      </c>
      <c r="F377" s="2003">
        <v>40</v>
      </c>
      <c r="G377" s="2004">
        <v>1000</v>
      </c>
      <c r="H377" s="2154">
        <v>40</v>
      </c>
      <c r="I377" s="2115">
        <f t="shared" ref="I377:I379" si="37">H377-H377*$I$213</f>
        <v>29.2</v>
      </c>
      <c r="J377" s="2103">
        <f t="shared" ref="J377:J379" si="38">H377*0.8</f>
        <v>32</v>
      </c>
      <c r="K377" s="1921"/>
    </row>
    <row r="378" spans="1:11">
      <c r="A378" s="1092"/>
      <c r="B378" s="1987"/>
      <c r="C378" s="1999" t="s">
        <v>266</v>
      </c>
      <c r="D378" s="2000" t="s">
        <v>192</v>
      </c>
      <c r="E378" s="2001">
        <v>36</v>
      </c>
      <c r="F378" s="2000">
        <v>20</v>
      </c>
      <c r="G378" s="2001">
        <v>500</v>
      </c>
      <c r="H378" s="2155">
        <v>74.545454545454533</v>
      </c>
      <c r="I378" s="2115">
        <f t="shared" si="37"/>
        <v>54.418181818181807</v>
      </c>
      <c r="J378" s="2104">
        <f t="shared" si="38"/>
        <v>59.636363636363626</v>
      </c>
      <c r="K378" s="1921"/>
    </row>
    <row r="379" spans="1:11">
      <c r="A379" s="1092"/>
      <c r="B379" s="1985"/>
      <c r="C379" s="2002" t="s">
        <v>267</v>
      </c>
      <c r="D379" s="2003" t="s">
        <v>194</v>
      </c>
      <c r="E379" s="2004">
        <v>57</v>
      </c>
      <c r="F379" s="2003">
        <v>10</v>
      </c>
      <c r="G379" s="2004">
        <v>250</v>
      </c>
      <c r="H379" s="2154">
        <v>121.81818181818181</v>
      </c>
      <c r="I379" s="2115">
        <f t="shared" si="37"/>
        <v>88.927272727272722</v>
      </c>
      <c r="J379" s="2103">
        <f t="shared" si="38"/>
        <v>97.454545454545453</v>
      </c>
      <c r="K379" s="1921"/>
    </row>
    <row r="380" spans="1:11">
      <c r="A380" s="1092"/>
      <c r="B380" s="1985"/>
      <c r="C380" s="1999" t="s">
        <v>1699</v>
      </c>
      <c r="D380" s="2000" t="s">
        <v>209</v>
      </c>
      <c r="E380" s="2001">
        <v>85</v>
      </c>
      <c r="F380" s="2000">
        <v>15</v>
      </c>
      <c r="G380" s="2001">
        <v>240</v>
      </c>
      <c r="H380" s="2179">
        <v>130</v>
      </c>
      <c r="I380" s="2188" t="s">
        <v>1825</v>
      </c>
      <c r="J380" s="2188"/>
      <c r="K380" s="1921"/>
    </row>
    <row r="381" spans="1:11">
      <c r="A381" s="1092"/>
      <c r="B381" s="1985"/>
      <c r="C381" s="2002" t="s">
        <v>1698</v>
      </c>
      <c r="D381" s="2003" t="s">
        <v>696</v>
      </c>
      <c r="E381" s="2004">
        <v>130</v>
      </c>
      <c r="F381" s="2003">
        <v>10</v>
      </c>
      <c r="G381" s="2004">
        <v>150</v>
      </c>
      <c r="H381" s="2166">
        <v>140</v>
      </c>
      <c r="I381" s="2188" t="s">
        <v>1825</v>
      </c>
      <c r="J381" s="2188"/>
      <c r="K381" s="1921"/>
    </row>
    <row r="382" spans="1:11">
      <c r="A382" s="1092"/>
      <c r="B382" s="1985"/>
      <c r="C382" s="1999" t="s">
        <v>1697</v>
      </c>
      <c r="D382" s="2000" t="s">
        <v>702</v>
      </c>
      <c r="E382" s="2001">
        <v>160</v>
      </c>
      <c r="F382" s="2000">
        <v>10</v>
      </c>
      <c r="G382" s="2001">
        <v>80</v>
      </c>
      <c r="H382" s="2179">
        <v>240</v>
      </c>
      <c r="I382" s="2188" t="s">
        <v>1825</v>
      </c>
      <c r="J382" s="2188"/>
      <c r="K382" s="1921"/>
    </row>
    <row r="383" spans="1:11">
      <c r="A383" s="1092"/>
      <c r="B383" s="1981" t="s">
        <v>43</v>
      </c>
      <c r="C383" s="1983"/>
      <c r="D383" s="1982" t="s">
        <v>44</v>
      </c>
      <c r="E383" s="1983"/>
      <c r="F383" s="1983"/>
      <c r="G383" s="1983"/>
      <c r="H383" s="2174"/>
      <c r="I383" s="1989"/>
      <c r="J383" s="1984"/>
      <c r="K383" s="1921"/>
    </row>
    <row r="384" spans="1:11" ht="15.75" thickBot="1">
      <c r="A384" s="1092"/>
      <c r="B384" s="1985"/>
      <c r="C384" s="1982"/>
      <c r="D384" s="1983" t="s">
        <v>9</v>
      </c>
      <c r="E384" s="1983"/>
      <c r="F384" s="1983"/>
      <c r="G384" s="1983"/>
      <c r="H384" s="2174"/>
      <c r="I384" s="1989"/>
      <c r="J384" s="1984"/>
      <c r="K384" s="1921"/>
    </row>
    <row r="385" spans="1:11" ht="15.75" thickBot="1">
      <c r="A385" s="1092"/>
      <c r="B385" s="1985"/>
      <c r="C385" s="2005" t="s">
        <v>10</v>
      </c>
      <c r="D385" s="2006" t="s">
        <v>11</v>
      </c>
      <c r="E385" s="2006" t="s">
        <v>12</v>
      </c>
      <c r="F385" s="2006" t="s">
        <v>13</v>
      </c>
      <c r="G385" s="2006" t="s">
        <v>14</v>
      </c>
      <c r="H385" s="2125" t="s">
        <v>1835</v>
      </c>
      <c r="I385" s="2008">
        <f>$G$17</f>
        <v>0.27</v>
      </c>
      <c r="J385" s="2007" t="s">
        <v>1834</v>
      </c>
      <c r="K385" s="1921"/>
    </row>
    <row r="386" spans="1:11">
      <c r="A386" s="1092"/>
      <c r="B386" s="1985"/>
      <c r="C386" s="2002" t="s">
        <v>268</v>
      </c>
      <c r="D386" s="2003" t="s">
        <v>190</v>
      </c>
      <c r="E386" s="2004">
        <v>15</v>
      </c>
      <c r="F386" s="2003">
        <v>50</v>
      </c>
      <c r="G386" s="2004">
        <v>1000</v>
      </c>
      <c r="H386" s="2154">
        <v>36</v>
      </c>
      <c r="I386" s="2115">
        <f t="shared" ref="I386:I391" si="39">H386-H386*$I$213</f>
        <v>26.28</v>
      </c>
      <c r="J386" s="2103">
        <f t="shared" ref="J386:J391" si="40">H386*0.8</f>
        <v>28.8</v>
      </c>
      <c r="K386" s="1921"/>
    </row>
    <row r="387" spans="1:11">
      <c r="A387" s="1092"/>
      <c r="B387" s="1987"/>
      <c r="C387" s="1999" t="s">
        <v>269</v>
      </c>
      <c r="D387" s="2000" t="s">
        <v>192</v>
      </c>
      <c r="E387" s="2001">
        <v>32</v>
      </c>
      <c r="F387" s="2000">
        <v>30</v>
      </c>
      <c r="G387" s="2001">
        <v>600</v>
      </c>
      <c r="H387" s="2155">
        <v>65.454545454545453</v>
      </c>
      <c r="I387" s="2115">
        <f t="shared" si="39"/>
        <v>47.781818181818181</v>
      </c>
      <c r="J387" s="2104">
        <f t="shared" si="40"/>
        <v>52.363636363636367</v>
      </c>
      <c r="K387" s="1921"/>
    </row>
    <row r="388" spans="1:11">
      <c r="A388" s="1092"/>
      <c r="B388" s="1985"/>
      <c r="C388" s="2002" t="s">
        <v>270</v>
      </c>
      <c r="D388" s="2003" t="s">
        <v>194</v>
      </c>
      <c r="E388" s="2004">
        <v>56</v>
      </c>
      <c r="F388" s="2003">
        <v>10</v>
      </c>
      <c r="G388" s="2004">
        <v>250</v>
      </c>
      <c r="H388" s="2154">
        <v>107.27272727272727</v>
      </c>
      <c r="I388" s="2115">
        <f t="shared" si="39"/>
        <v>78.309090909090898</v>
      </c>
      <c r="J388" s="2103">
        <f t="shared" si="40"/>
        <v>85.818181818181813</v>
      </c>
      <c r="K388" s="1921"/>
    </row>
    <row r="389" spans="1:11">
      <c r="A389" s="1092"/>
      <c r="B389" s="1985"/>
      <c r="C389" s="1999" t="s">
        <v>1704</v>
      </c>
      <c r="D389" s="2000" t="s">
        <v>209</v>
      </c>
      <c r="E389" s="2001">
        <v>85</v>
      </c>
      <c r="F389" s="2000">
        <v>20</v>
      </c>
      <c r="G389" s="2001">
        <v>220</v>
      </c>
      <c r="H389" s="2155">
        <v>179.99999999999997</v>
      </c>
      <c r="I389" s="2115">
        <f t="shared" si="39"/>
        <v>131.39999999999998</v>
      </c>
      <c r="J389" s="2104">
        <f t="shared" si="40"/>
        <v>143.99999999999997</v>
      </c>
      <c r="K389" s="1921"/>
    </row>
    <row r="390" spans="1:11">
      <c r="A390" s="1092"/>
      <c r="B390" s="1985"/>
      <c r="C390" s="2002" t="s">
        <v>1703</v>
      </c>
      <c r="D390" s="2003" t="s">
        <v>696</v>
      </c>
      <c r="E390" s="2004">
        <v>140</v>
      </c>
      <c r="F390" s="2003">
        <v>10</v>
      </c>
      <c r="G390" s="2004">
        <v>150</v>
      </c>
      <c r="H390" s="2166">
        <v>140</v>
      </c>
      <c r="I390" s="2188" t="s">
        <v>1825</v>
      </c>
      <c r="J390" s="2188"/>
      <c r="K390" s="1921"/>
    </row>
    <row r="391" spans="1:11">
      <c r="A391" s="1092"/>
      <c r="B391" s="1985"/>
      <c r="C391" s="1999" t="s">
        <v>1702</v>
      </c>
      <c r="D391" s="2000" t="s">
        <v>702</v>
      </c>
      <c r="E391" s="2001">
        <v>170</v>
      </c>
      <c r="F391" s="2000">
        <v>10</v>
      </c>
      <c r="G391" s="2001">
        <v>100</v>
      </c>
      <c r="H391" s="2155">
        <v>359.99999999999994</v>
      </c>
      <c r="I391" s="2115">
        <f t="shared" si="39"/>
        <v>262.79999999999995</v>
      </c>
      <c r="J391" s="2104">
        <f t="shared" si="40"/>
        <v>287.99999999999994</v>
      </c>
      <c r="K391" s="1921"/>
    </row>
    <row r="392" spans="1:11">
      <c r="A392" s="1092"/>
      <c r="B392" s="1981" t="s">
        <v>910</v>
      </c>
      <c r="C392" s="1996"/>
      <c r="D392" s="1982" t="s">
        <v>45</v>
      </c>
      <c r="E392" s="1983"/>
      <c r="F392" s="1983"/>
      <c r="G392" s="1983"/>
      <c r="H392" s="2123"/>
      <c r="I392" s="1989"/>
      <c r="J392" s="1984"/>
      <c r="K392" s="1921"/>
    </row>
    <row r="393" spans="1:11" ht="15.75" thickBot="1">
      <c r="A393" s="1092"/>
      <c r="B393" s="1985"/>
      <c r="C393" s="1982"/>
      <c r="D393" s="1983" t="s">
        <v>25</v>
      </c>
      <c r="E393" s="1983"/>
      <c r="F393" s="1983"/>
      <c r="G393" s="2055"/>
      <c r="H393" s="2152"/>
      <c r="I393" s="1989"/>
      <c r="J393" s="1984"/>
      <c r="K393" s="1921"/>
    </row>
    <row r="394" spans="1:11" ht="15.75" thickBot="1">
      <c r="A394" s="1092"/>
      <c r="B394" s="1985"/>
      <c r="C394" s="2005" t="s">
        <v>10</v>
      </c>
      <c r="D394" s="2006" t="s">
        <v>11</v>
      </c>
      <c r="E394" s="2006" t="s">
        <v>12</v>
      </c>
      <c r="F394" s="2006" t="s">
        <v>13</v>
      </c>
      <c r="G394" s="2006" t="s">
        <v>14</v>
      </c>
      <c r="H394" s="2125" t="s">
        <v>1835</v>
      </c>
      <c r="I394" s="2008">
        <f>$G$17</f>
        <v>0.27</v>
      </c>
      <c r="J394" s="2007" t="s">
        <v>1834</v>
      </c>
      <c r="K394" s="1921"/>
    </row>
    <row r="395" spans="1:11">
      <c r="A395" s="1092"/>
      <c r="B395" s="1985"/>
      <c r="C395" s="2002" t="s">
        <v>1552</v>
      </c>
      <c r="D395" s="2003" t="s">
        <v>891</v>
      </c>
      <c r="E395" s="2004">
        <v>26</v>
      </c>
      <c r="F395" s="2003">
        <v>10</v>
      </c>
      <c r="G395" s="2004">
        <v>600</v>
      </c>
      <c r="H395" s="2154">
        <v>52.72727272727272</v>
      </c>
      <c r="I395" s="2115">
        <f>H395-H395*$I$213</f>
        <v>38.490909090909085</v>
      </c>
      <c r="J395" s="2103">
        <f t="shared" ref="J395:J402" si="41">H395*0.8</f>
        <v>42.18181818181818</v>
      </c>
      <c r="K395" s="1921"/>
    </row>
    <row r="396" spans="1:11">
      <c r="A396" s="1092"/>
      <c r="B396" s="1985"/>
      <c r="C396" s="1999" t="s">
        <v>1553</v>
      </c>
      <c r="D396" s="2000" t="s">
        <v>892</v>
      </c>
      <c r="E396" s="2001">
        <v>25</v>
      </c>
      <c r="F396" s="2000">
        <v>10</v>
      </c>
      <c r="G396" s="2001">
        <v>700</v>
      </c>
      <c r="H396" s="2155">
        <v>52.72727272727272</v>
      </c>
      <c r="I396" s="2115">
        <f t="shared" ref="I396:I402" si="42">H396-H396*$I$213</f>
        <v>38.490909090909085</v>
      </c>
      <c r="J396" s="2104">
        <f t="shared" si="41"/>
        <v>42.18181818181818</v>
      </c>
      <c r="K396" s="1921"/>
    </row>
    <row r="397" spans="1:11">
      <c r="A397" s="1092"/>
      <c r="B397" s="1985"/>
      <c r="C397" s="2002" t="s">
        <v>1554</v>
      </c>
      <c r="D397" s="2003" t="s">
        <v>211</v>
      </c>
      <c r="E397" s="2004">
        <v>44</v>
      </c>
      <c r="F397" s="2003">
        <v>10</v>
      </c>
      <c r="G397" s="2004">
        <v>350</v>
      </c>
      <c r="H397" s="2154">
        <v>94.545454545454533</v>
      </c>
      <c r="I397" s="2115">
        <f t="shared" si="42"/>
        <v>69.018181818181802</v>
      </c>
      <c r="J397" s="2103">
        <f t="shared" si="41"/>
        <v>75.636363636363626</v>
      </c>
      <c r="K397" s="1921"/>
    </row>
    <row r="398" spans="1:11">
      <c r="A398" s="1092"/>
      <c r="B398" s="1987"/>
      <c r="C398" s="1999" t="s">
        <v>1624</v>
      </c>
      <c r="D398" s="2000" t="s">
        <v>213</v>
      </c>
      <c r="E398" s="2001">
        <v>64</v>
      </c>
      <c r="F398" s="2000">
        <v>10</v>
      </c>
      <c r="G398" s="2001">
        <v>300</v>
      </c>
      <c r="H398" s="2155">
        <v>130.90909090909091</v>
      </c>
      <c r="I398" s="2115">
        <f t="shared" si="42"/>
        <v>95.563636363636363</v>
      </c>
      <c r="J398" s="2104">
        <f t="shared" si="41"/>
        <v>104.72727272727273</v>
      </c>
      <c r="K398" s="1921"/>
    </row>
    <row r="399" spans="1:11">
      <c r="A399" s="1092"/>
      <c r="B399" s="1985"/>
      <c r="C399" s="2002" t="s">
        <v>1625</v>
      </c>
      <c r="D399" s="2003" t="s">
        <v>215</v>
      </c>
      <c r="E399" s="2004">
        <v>94</v>
      </c>
      <c r="F399" s="2003">
        <v>10</v>
      </c>
      <c r="G399" s="2004">
        <v>250</v>
      </c>
      <c r="H399" s="2154">
        <v>192.72727272727272</v>
      </c>
      <c r="I399" s="2115">
        <f t="shared" si="42"/>
        <v>140.69090909090909</v>
      </c>
      <c r="J399" s="2103">
        <f t="shared" si="41"/>
        <v>154.18181818181819</v>
      </c>
      <c r="K399" s="1921"/>
    </row>
    <row r="400" spans="1:11">
      <c r="A400" s="1092"/>
      <c r="B400" s="1985"/>
      <c r="C400" s="1999" t="s">
        <v>1555</v>
      </c>
      <c r="D400" s="2000" t="s">
        <v>698</v>
      </c>
      <c r="E400" s="2001">
        <v>127</v>
      </c>
      <c r="F400" s="2000">
        <v>10</v>
      </c>
      <c r="G400" s="2001">
        <v>100</v>
      </c>
      <c r="H400" s="2155">
        <v>247.27272727272725</v>
      </c>
      <c r="I400" s="2115">
        <f t="shared" si="42"/>
        <v>180.5090909090909</v>
      </c>
      <c r="J400" s="2104">
        <f t="shared" si="41"/>
        <v>197.81818181818181</v>
      </c>
      <c r="K400" s="1921"/>
    </row>
    <row r="401" spans="1:11">
      <c r="A401" s="1092"/>
      <c r="B401" s="1985"/>
      <c r="C401" s="2002" t="s">
        <v>1622</v>
      </c>
      <c r="D401" s="2003" t="s">
        <v>217</v>
      </c>
      <c r="E401" s="2004">
        <v>138</v>
      </c>
      <c r="F401" s="2003">
        <v>5</v>
      </c>
      <c r="G401" s="2004">
        <v>100</v>
      </c>
      <c r="H401" s="2154">
        <v>276.36363636363632</v>
      </c>
      <c r="I401" s="2115">
        <f t="shared" si="42"/>
        <v>201.74545454545449</v>
      </c>
      <c r="J401" s="2103">
        <f t="shared" si="41"/>
        <v>221.09090909090907</v>
      </c>
      <c r="K401" s="1921"/>
    </row>
    <row r="402" spans="1:11">
      <c r="A402" s="1092"/>
      <c r="B402" s="1985"/>
      <c r="C402" s="1999" t="s">
        <v>1623</v>
      </c>
      <c r="D402" s="2000" t="s">
        <v>219</v>
      </c>
      <c r="E402" s="2001">
        <v>148</v>
      </c>
      <c r="F402" s="2000">
        <v>5</v>
      </c>
      <c r="G402" s="2001">
        <v>100</v>
      </c>
      <c r="H402" s="2155">
        <v>294.5454545454545</v>
      </c>
      <c r="I402" s="2115">
        <f t="shared" si="42"/>
        <v>215.0181818181818</v>
      </c>
      <c r="J402" s="2104">
        <f t="shared" si="41"/>
        <v>235.63636363636363</v>
      </c>
      <c r="K402" s="1921"/>
    </row>
    <row r="403" spans="1:11">
      <c r="A403" s="1092"/>
      <c r="B403" s="1981" t="s">
        <v>46</v>
      </c>
      <c r="C403" s="1983"/>
      <c r="D403" s="1982" t="s">
        <v>47</v>
      </c>
      <c r="E403" s="1983"/>
      <c r="F403" s="1983"/>
      <c r="G403" s="1983"/>
      <c r="H403" s="2174"/>
      <c r="I403" s="1989"/>
      <c r="J403" s="1984"/>
      <c r="K403" s="1921"/>
    </row>
    <row r="404" spans="1:11" ht="15.75" thickBot="1">
      <c r="A404" s="1092"/>
      <c r="B404" s="1985"/>
      <c r="C404" s="1982"/>
      <c r="D404" s="1983" t="s">
        <v>9</v>
      </c>
      <c r="E404" s="1983"/>
      <c r="F404" s="1983"/>
      <c r="G404" s="1983"/>
      <c r="H404" s="2174"/>
      <c r="I404" s="1989"/>
      <c r="J404" s="1984"/>
      <c r="K404" s="1921"/>
    </row>
    <row r="405" spans="1:11" ht="15.75" thickBot="1">
      <c r="A405" s="1092"/>
      <c r="B405" s="1985"/>
      <c r="C405" s="2005" t="s">
        <v>10</v>
      </c>
      <c r="D405" s="2006" t="s">
        <v>11</v>
      </c>
      <c r="E405" s="2006" t="s">
        <v>12</v>
      </c>
      <c r="F405" s="2006" t="s">
        <v>13</v>
      </c>
      <c r="G405" s="2006" t="s">
        <v>14</v>
      </c>
      <c r="H405" s="2125" t="s">
        <v>1835</v>
      </c>
      <c r="I405" s="2008">
        <f>$G$17</f>
        <v>0.27</v>
      </c>
      <c r="J405" s="2007" t="s">
        <v>1834</v>
      </c>
      <c r="K405" s="1921"/>
    </row>
    <row r="406" spans="1:11">
      <c r="A406" s="1092"/>
      <c r="B406" s="1985"/>
      <c r="C406" s="2002" t="s">
        <v>276</v>
      </c>
      <c r="D406" s="2003" t="s">
        <v>190</v>
      </c>
      <c r="E406" s="2004">
        <v>9</v>
      </c>
      <c r="F406" s="2003">
        <v>50</v>
      </c>
      <c r="G406" s="2004">
        <v>1600</v>
      </c>
      <c r="H406" s="2154">
        <v>23.636363636363633</v>
      </c>
      <c r="I406" s="2115">
        <f>H406-H406*$I$213</f>
        <v>17.25454545454545</v>
      </c>
      <c r="J406" s="2103">
        <f>H406*0.8</f>
        <v>18.909090909090907</v>
      </c>
      <c r="K406" s="1921"/>
    </row>
    <row r="407" spans="1:11">
      <c r="A407" s="1092"/>
      <c r="B407" s="1987"/>
      <c r="C407" s="1999" t="s">
        <v>277</v>
      </c>
      <c r="D407" s="2000" t="s">
        <v>192</v>
      </c>
      <c r="E407" s="2001">
        <v>18</v>
      </c>
      <c r="F407" s="2000">
        <v>40</v>
      </c>
      <c r="G407" s="2001">
        <v>800</v>
      </c>
      <c r="H407" s="2155">
        <v>40.909090909090907</v>
      </c>
      <c r="I407" s="2115">
        <f>H407-H407*$I$213</f>
        <v>29.86363636363636</v>
      </c>
      <c r="J407" s="2104">
        <f>H407*0.8</f>
        <v>32.727272727272727</v>
      </c>
      <c r="K407" s="1921"/>
    </row>
    <row r="408" spans="1:11">
      <c r="A408" s="1092"/>
      <c r="B408" s="1987"/>
      <c r="C408" s="1996"/>
      <c r="D408" s="1982" t="s">
        <v>709</v>
      </c>
      <c r="E408" s="814"/>
      <c r="F408" s="814"/>
      <c r="G408" s="814"/>
      <c r="H408" s="2175"/>
      <c r="I408" s="1989"/>
      <c r="J408" s="1984"/>
      <c r="K408" s="1921"/>
    </row>
    <row r="409" spans="1:11" ht="15.75" thickBot="1">
      <c r="A409" s="1092"/>
      <c r="B409" s="1981" t="s">
        <v>713</v>
      </c>
      <c r="C409" s="1996"/>
      <c r="D409" s="1983" t="s">
        <v>9</v>
      </c>
      <c r="E409" s="1983"/>
      <c r="F409" s="814"/>
      <c r="G409" s="814"/>
      <c r="H409" s="2175"/>
      <c r="I409" s="1989"/>
      <c r="J409" s="1984"/>
      <c r="K409" s="1921"/>
    </row>
    <row r="410" spans="1:11" ht="15.75" thickBot="1">
      <c r="A410" s="1092"/>
      <c r="B410" s="1987"/>
      <c r="C410" s="2005" t="s">
        <v>10</v>
      </c>
      <c r="D410" s="2006" t="s">
        <v>11</v>
      </c>
      <c r="E410" s="2006" t="s">
        <v>12</v>
      </c>
      <c r="F410" s="2006" t="s">
        <v>13</v>
      </c>
      <c r="G410" s="2006" t="s">
        <v>14</v>
      </c>
      <c r="H410" s="2125" t="s">
        <v>1835</v>
      </c>
      <c r="I410" s="2008">
        <f>$G$17</f>
        <v>0.27</v>
      </c>
      <c r="J410" s="2007" t="s">
        <v>1834</v>
      </c>
      <c r="K410" s="1921"/>
    </row>
    <row r="411" spans="1:11">
      <c r="A411" s="1092"/>
      <c r="B411" s="1987"/>
      <c r="C411" s="2002" t="s">
        <v>1694</v>
      </c>
      <c r="D411" s="2003" t="s">
        <v>710</v>
      </c>
      <c r="E411" s="2004">
        <v>11</v>
      </c>
      <c r="F411" s="2003">
        <v>250</v>
      </c>
      <c r="G411" s="2004">
        <v>2500</v>
      </c>
      <c r="H411" s="2166">
        <v>7</v>
      </c>
      <c r="I411" s="2188" t="s">
        <v>1825</v>
      </c>
      <c r="J411" s="2188"/>
      <c r="K411" s="1921"/>
    </row>
    <row r="412" spans="1:11">
      <c r="A412" s="1092"/>
      <c r="B412" s="1987"/>
      <c r="C412" s="1999" t="s">
        <v>1693</v>
      </c>
      <c r="D412" s="2000" t="s">
        <v>711</v>
      </c>
      <c r="E412" s="2001">
        <v>18</v>
      </c>
      <c r="F412" s="2000">
        <v>130</v>
      </c>
      <c r="G412" s="2001">
        <v>1300</v>
      </c>
      <c r="H412" s="2179">
        <v>16</v>
      </c>
      <c r="I412" s="2188" t="s">
        <v>1825</v>
      </c>
      <c r="J412" s="2188"/>
      <c r="K412" s="1921"/>
    </row>
    <row r="413" spans="1:11">
      <c r="A413" s="1092"/>
      <c r="B413" s="1987"/>
      <c r="C413" s="2002" t="s">
        <v>1692</v>
      </c>
      <c r="D413" s="2003" t="s">
        <v>663</v>
      </c>
      <c r="E413" s="2004">
        <v>23</v>
      </c>
      <c r="F413" s="2003">
        <v>100</v>
      </c>
      <c r="G413" s="2004">
        <v>800</v>
      </c>
      <c r="H413" s="2154">
        <v>49.090909090909086</v>
      </c>
      <c r="I413" s="2115">
        <f>H413-H413*$I$213</f>
        <v>35.836363636363629</v>
      </c>
      <c r="J413" s="2103">
        <f>H413*0.8</f>
        <v>39.272727272727273</v>
      </c>
      <c r="K413" s="1921"/>
    </row>
    <row r="414" spans="1:11">
      <c r="A414" s="1092"/>
      <c r="B414" s="1987"/>
      <c r="C414" s="1999" t="s">
        <v>1691</v>
      </c>
      <c r="D414" s="2000" t="s">
        <v>712</v>
      </c>
      <c r="E414" s="2001">
        <v>26</v>
      </c>
      <c r="F414" s="2000">
        <v>125</v>
      </c>
      <c r="G414" s="2001">
        <v>500</v>
      </c>
      <c r="H414" s="2155">
        <v>65.454545454545453</v>
      </c>
      <c r="I414" s="2115">
        <f>H414-H414*$I$213</f>
        <v>47.781818181818181</v>
      </c>
      <c r="J414" s="2104">
        <f>H414*0.8</f>
        <v>52.363636363636367</v>
      </c>
      <c r="K414" s="1921"/>
    </row>
    <row r="415" spans="1:11">
      <c r="A415" s="1092"/>
      <c r="B415" s="1981" t="s">
        <v>48</v>
      </c>
      <c r="C415" s="1983"/>
      <c r="D415" s="1982" t="s">
        <v>49</v>
      </c>
      <c r="E415" s="1983"/>
      <c r="F415" s="1983"/>
      <c r="G415" s="1983"/>
      <c r="H415" s="2174"/>
      <c r="I415" s="1989"/>
      <c r="J415" s="1984"/>
      <c r="K415" s="1921"/>
    </row>
    <row r="416" spans="1:11" ht="15.75" thickBot="1">
      <c r="A416" s="1092"/>
      <c r="B416" s="1985"/>
      <c r="C416" s="1982"/>
      <c r="D416" s="1983" t="s">
        <v>9</v>
      </c>
      <c r="E416" s="1983"/>
      <c r="F416" s="1983"/>
      <c r="G416" s="1983"/>
      <c r="H416" s="2174"/>
      <c r="I416" s="1989"/>
      <c r="J416" s="1984"/>
      <c r="K416" s="1921"/>
    </row>
    <row r="417" spans="1:11" ht="15.75" thickBot="1">
      <c r="A417" s="1092"/>
      <c r="B417" s="1985"/>
      <c r="C417" s="2005" t="s">
        <v>10</v>
      </c>
      <c r="D417" s="2006" t="s">
        <v>11</v>
      </c>
      <c r="E417" s="2006" t="s">
        <v>12</v>
      </c>
      <c r="F417" s="2006" t="s">
        <v>13</v>
      </c>
      <c r="G417" s="2006" t="s">
        <v>14</v>
      </c>
      <c r="H417" s="2125" t="s">
        <v>1835</v>
      </c>
      <c r="I417" s="2008">
        <f>$G$17</f>
        <v>0.27</v>
      </c>
      <c r="J417" s="2007" t="s">
        <v>1834</v>
      </c>
      <c r="K417" s="1921"/>
    </row>
    <row r="418" spans="1:11">
      <c r="A418" s="1092"/>
      <c r="B418" s="1985"/>
      <c r="C418" s="2002" t="s">
        <v>278</v>
      </c>
      <c r="D418" s="2003" t="s">
        <v>190</v>
      </c>
      <c r="E418" s="2004">
        <v>86</v>
      </c>
      <c r="F418" s="2003">
        <v>10</v>
      </c>
      <c r="G418" s="2004">
        <v>200</v>
      </c>
      <c r="H418" s="2154">
        <v>180</v>
      </c>
      <c r="I418" s="2115">
        <f>H418-H418*$I$213</f>
        <v>131.4</v>
      </c>
      <c r="J418" s="2103">
        <f>H418*0.8</f>
        <v>144</v>
      </c>
      <c r="K418" s="1921"/>
    </row>
    <row r="419" spans="1:11">
      <c r="A419" s="1092"/>
      <c r="B419" s="1981" t="s">
        <v>50</v>
      </c>
      <c r="C419" s="1983"/>
      <c r="D419" s="1982" t="s">
        <v>51</v>
      </c>
      <c r="E419" s="1983"/>
      <c r="F419" s="1983"/>
      <c r="G419" s="1983"/>
      <c r="H419" s="2174"/>
      <c r="I419" s="1989"/>
      <c r="J419" s="1984"/>
      <c r="K419" s="1921"/>
    </row>
    <row r="420" spans="1:11" ht="15.75" thickBot="1">
      <c r="A420" s="1092"/>
      <c r="B420" s="1985"/>
      <c r="C420" s="1982"/>
      <c r="D420" s="1983" t="s">
        <v>52</v>
      </c>
      <c r="E420" s="1983"/>
      <c r="F420" s="1983"/>
      <c r="G420" s="1983"/>
      <c r="H420" s="2174"/>
      <c r="I420" s="1989"/>
      <c r="J420" s="1984"/>
      <c r="K420" s="1921"/>
    </row>
    <row r="421" spans="1:11" ht="15.75" thickBot="1">
      <c r="A421" s="1092"/>
      <c r="B421" s="1985"/>
      <c r="C421" s="2005" t="s">
        <v>10</v>
      </c>
      <c r="D421" s="2006" t="s">
        <v>11</v>
      </c>
      <c r="E421" s="2006" t="s">
        <v>12</v>
      </c>
      <c r="F421" s="2006" t="s">
        <v>13</v>
      </c>
      <c r="G421" s="2006" t="s">
        <v>14</v>
      </c>
      <c r="H421" s="2125" t="s">
        <v>1835</v>
      </c>
      <c r="I421" s="2008">
        <f>$G$17</f>
        <v>0.27</v>
      </c>
      <c r="J421" s="2007" t="s">
        <v>1834</v>
      </c>
      <c r="K421" s="1921"/>
    </row>
    <row r="422" spans="1:11">
      <c r="A422" s="1092"/>
      <c r="B422" s="1985"/>
      <c r="C422" s="2002" t="s">
        <v>279</v>
      </c>
      <c r="D422" s="2003" t="s">
        <v>190</v>
      </c>
      <c r="E422" s="2004">
        <v>78</v>
      </c>
      <c r="F422" s="2003">
        <v>10</v>
      </c>
      <c r="G422" s="2004">
        <v>150</v>
      </c>
      <c r="H422" s="2154">
        <v>180</v>
      </c>
      <c r="I422" s="2115">
        <f>H422-H422*$I$213</f>
        <v>131.4</v>
      </c>
      <c r="J422" s="2103">
        <f>H422*0.8</f>
        <v>144</v>
      </c>
      <c r="K422" s="1921"/>
    </row>
    <row r="423" spans="1:11">
      <c r="A423" s="1092"/>
      <c r="B423" s="1981" t="s">
        <v>540</v>
      </c>
      <c r="C423" s="1983"/>
      <c r="D423" s="1982" t="s">
        <v>53</v>
      </c>
      <c r="E423" s="1983"/>
      <c r="F423" s="1983"/>
      <c r="G423" s="1983"/>
      <c r="H423" s="2174"/>
      <c r="I423" s="1989"/>
      <c r="J423" s="1984"/>
      <c r="K423" s="1921"/>
    </row>
    <row r="424" spans="1:11" ht="15.75" thickBot="1">
      <c r="A424" s="1092"/>
      <c r="B424" s="1985"/>
      <c r="C424" s="1982"/>
      <c r="D424" s="1983" t="s">
        <v>54</v>
      </c>
      <c r="E424" s="1983"/>
      <c r="F424" s="1983"/>
      <c r="G424" s="1983"/>
      <c r="H424" s="2174"/>
      <c r="I424" s="1989"/>
      <c r="J424" s="1984"/>
      <c r="K424" s="1921"/>
    </row>
    <row r="425" spans="1:11" ht="15.75" thickBot="1">
      <c r="A425" s="1092"/>
      <c r="B425" s="1985"/>
      <c r="C425" s="2005" t="s">
        <v>10</v>
      </c>
      <c r="D425" s="2006" t="s">
        <v>11</v>
      </c>
      <c r="E425" s="2006" t="s">
        <v>12</v>
      </c>
      <c r="F425" s="2006" t="s">
        <v>13</v>
      </c>
      <c r="G425" s="2006" t="s">
        <v>14</v>
      </c>
      <c r="H425" s="2125" t="s">
        <v>1835</v>
      </c>
      <c r="I425" s="2008">
        <f>$G$17</f>
        <v>0.27</v>
      </c>
      <c r="J425" s="2007" t="s">
        <v>1834</v>
      </c>
      <c r="K425" s="1921"/>
    </row>
    <row r="426" spans="1:11">
      <c r="A426" s="1092"/>
      <c r="B426" s="1985"/>
      <c r="C426" s="2002" t="s">
        <v>1556</v>
      </c>
      <c r="D426" s="2003" t="s">
        <v>190</v>
      </c>
      <c r="E426" s="2004">
        <v>85</v>
      </c>
      <c r="F426" s="2003">
        <v>10</v>
      </c>
      <c r="G426" s="2004">
        <v>150</v>
      </c>
      <c r="H426" s="2154">
        <v>180</v>
      </c>
      <c r="I426" s="2115">
        <f>H426-H426*$I$213</f>
        <v>131.4</v>
      </c>
      <c r="J426" s="2103">
        <f>H426*0.8</f>
        <v>144</v>
      </c>
      <c r="K426" s="1921"/>
    </row>
    <row r="427" spans="1:11">
      <c r="A427" s="1092"/>
      <c r="B427" s="1981" t="s">
        <v>727</v>
      </c>
      <c r="C427" s="1983"/>
      <c r="D427" s="1982" t="s">
        <v>728</v>
      </c>
      <c r="E427" s="1983"/>
      <c r="F427" s="1983"/>
      <c r="G427" s="1983"/>
      <c r="H427" s="2174"/>
      <c r="I427" s="1989"/>
      <c r="J427" s="1984"/>
      <c r="K427" s="1921"/>
    </row>
    <row r="428" spans="1:11" ht="15.75" thickBot="1">
      <c r="A428" s="1092"/>
      <c r="B428" s="1985"/>
      <c r="C428" s="1982"/>
      <c r="D428" s="1983" t="s">
        <v>54</v>
      </c>
      <c r="E428" s="1983"/>
      <c r="F428" s="1983"/>
      <c r="G428" s="1983"/>
      <c r="H428" s="2174"/>
      <c r="I428" s="1989"/>
      <c r="J428" s="1984"/>
      <c r="K428" s="1921"/>
    </row>
    <row r="429" spans="1:11" ht="15.75" thickBot="1">
      <c r="A429" s="1092"/>
      <c r="B429" s="1985"/>
      <c r="C429" s="2005" t="s">
        <v>10</v>
      </c>
      <c r="D429" s="2006" t="s">
        <v>11</v>
      </c>
      <c r="E429" s="2006" t="s">
        <v>12</v>
      </c>
      <c r="F429" s="2006" t="s">
        <v>13</v>
      </c>
      <c r="G429" s="2006" t="s">
        <v>14</v>
      </c>
      <c r="H429" s="2125" t="s">
        <v>1835</v>
      </c>
      <c r="I429" s="2008">
        <f>$G$17</f>
        <v>0.27</v>
      </c>
      <c r="J429" s="2007" t="s">
        <v>1834</v>
      </c>
      <c r="K429" s="1921"/>
    </row>
    <row r="430" spans="1:11">
      <c r="A430" s="1092"/>
      <c r="B430" s="1985"/>
      <c r="C430" s="2002" t="s">
        <v>1641</v>
      </c>
      <c r="D430" s="2003" t="s">
        <v>190</v>
      </c>
      <c r="E430" s="2004">
        <v>75</v>
      </c>
      <c r="F430" s="2003">
        <v>50</v>
      </c>
      <c r="G430" s="2004">
        <v>150</v>
      </c>
      <c r="H430" s="2154">
        <v>161.82</v>
      </c>
      <c r="I430" s="2115">
        <f>H430-H430*$I$213</f>
        <v>118.12859999999999</v>
      </c>
      <c r="J430" s="2103">
        <f>H430*0.8</f>
        <v>129.45599999999999</v>
      </c>
      <c r="K430" s="1921"/>
    </row>
    <row r="431" spans="1:11">
      <c r="A431" s="1092"/>
      <c r="B431" s="1985"/>
      <c r="C431" s="1983"/>
      <c r="D431" s="1982" t="s">
        <v>1996</v>
      </c>
      <c r="E431" s="1983"/>
      <c r="F431" s="1983"/>
      <c r="G431" s="1983"/>
      <c r="H431" s="2174"/>
      <c r="I431" s="1989"/>
      <c r="J431" s="1984"/>
      <c r="K431" s="1921"/>
    </row>
    <row r="432" spans="1:11" ht="15.75" thickBot="1">
      <c r="A432" s="1092"/>
      <c r="B432" s="1985"/>
      <c r="C432" s="1982"/>
      <c r="D432" s="1983" t="s">
        <v>699</v>
      </c>
      <c r="E432" s="1983"/>
      <c r="F432" s="1983"/>
      <c r="G432" s="1983"/>
      <c r="H432" s="2174"/>
      <c r="I432" s="1989"/>
      <c r="J432" s="1984"/>
      <c r="K432" s="1921"/>
    </row>
    <row r="433" spans="1:206" ht="15.75" thickBot="1">
      <c r="A433" s="1092"/>
      <c r="B433" s="1985"/>
      <c r="C433" s="2005" t="s">
        <v>10</v>
      </c>
      <c r="D433" s="2006" t="s">
        <v>11</v>
      </c>
      <c r="E433" s="2006" t="s">
        <v>12</v>
      </c>
      <c r="F433" s="2006" t="s">
        <v>13</v>
      </c>
      <c r="G433" s="2006" t="s">
        <v>14</v>
      </c>
      <c r="H433" s="2125" t="s">
        <v>1835</v>
      </c>
      <c r="I433" s="2008">
        <f>$G$17</f>
        <v>0.27</v>
      </c>
      <c r="J433" s="2186" t="s">
        <v>1834</v>
      </c>
      <c r="K433" s="1921"/>
    </row>
    <row r="434" spans="1:206">
      <c r="A434" s="1092"/>
      <c r="B434" s="1985"/>
      <c r="C434" s="2002" t="s">
        <v>1503</v>
      </c>
      <c r="D434" s="2003" t="s">
        <v>1997</v>
      </c>
      <c r="E434" s="2004">
        <v>250</v>
      </c>
      <c r="F434" s="2003">
        <v>6</v>
      </c>
      <c r="G434" s="2004">
        <v>30</v>
      </c>
      <c r="H434" s="1921">
        <v>463.63636363636363</v>
      </c>
      <c r="I434" s="2115">
        <f>H434-H434*$I$213</f>
        <v>338.45454545454544</v>
      </c>
      <c r="J434" s="2103">
        <f>H434*0.8</f>
        <v>370.90909090909093</v>
      </c>
      <c r="K434" s="1921"/>
    </row>
    <row r="435" spans="1:206">
      <c r="A435" s="2187"/>
      <c r="B435" s="1985"/>
      <c r="C435" s="1983"/>
      <c r="D435" s="1982"/>
      <c r="E435" s="1983"/>
      <c r="F435" s="1983"/>
      <c r="G435" s="1983"/>
      <c r="H435" s="2174"/>
      <c r="I435" s="1989"/>
      <c r="J435" s="1984"/>
      <c r="K435" s="1921"/>
    </row>
    <row r="436" spans="1:206" ht="18.75">
      <c r="A436" s="1092"/>
      <c r="B436" s="1994" t="s">
        <v>2009</v>
      </c>
      <c r="C436" s="1973"/>
      <c r="D436" s="1973"/>
      <c r="E436" s="2060"/>
      <c r="F436" s="1983"/>
      <c r="G436" s="1945"/>
      <c r="H436" s="1984"/>
      <c r="I436" s="1966"/>
      <c r="J436" s="1995" t="s">
        <v>1780</v>
      </c>
      <c r="K436" s="1921"/>
      <c r="L436" s="1340"/>
      <c r="M436" s="1913"/>
      <c r="N436" s="1913"/>
      <c r="O436" s="1913"/>
      <c r="P436" s="1913"/>
      <c r="Q436" s="1913"/>
      <c r="R436" s="1913"/>
      <c r="S436" s="1913"/>
      <c r="T436" s="1340"/>
      <c r="U436" s="1913"/>
      <c r="V436" s="1913"/>
      <c r="W436" s="1913"/>
      <c r="X436" s="1913"/>
      <c r="Y436" s="1913"/>
      <c r="Z436" s="1913"/>
      <c r="AA436" s="1913"/>
      <c r="AB436" s="1340"/>
      <c r="AC436" s="1913"/>
      <c r="AD436" s="1913"/>
      <c r="AE436" s="1913"/>
      <c r="AF436" s="1913"/>
      <c r="AG436" s="1913"/>
      <c r="AH436" s="1913"/>
      <c r="AI436" s="1913"/>
      <c r="AJ436" s="1340"/>
      <c r="AK436" s="1913"/>
      <c r="AL436" s="1913"/>
      <c r="AM436" s="1913"/>
      <c r="AN436" s="1913"/>
      <c r="AO436" s="1913"/>
      <c r="AP436" s="1913"/>
      <c r="AQ436" s="1913"/>
      <c r="AR436" s="1340"/>
      <c r="AS436" s="1913"/>
      <c r="AT436" s="1913"/>
      <c r="AU436" s="1913"/>
      <c r="AV436" s="1913"/>
      <c r="AW436" s="1913"/>
      <c r="AX436" s="1913"/>
      <c r="AY436" s="1913"/>
      <c r="AZ436" s="1340"/>
      <c r="BA436" s="1913"/>
      <c r="BB436" s="1913"/>
      <c r="BC436" s="1913"/>
      <c r="BD436" s="1913"/>
      <c r="BE436" s="1913"/>
      <c r="BF436" s="1913"/>
      <c r="BG436" s="1913"/>
      <c r="BH436" s="1340"/>
      <c r="BI436" s="1913"/>
      <c r="BJ436" s="1913"/>
      <c r="BK436" s="1913"/>
      <c r="BL436" s="1913"/>
      <c r="BM436" s="1913"/>
      <c r="BN436" s="1913"/>
      <c r="BO436" s="1913"/>
      <c r="BP436" s="1340"/>
      <c r="BQ436" s="1913"/>
      <c r="BR436" s="1913"/>
      <c r="BS436" s="1913"/>
      <c r="BT436" s="1913"/>
      <c r="BU436" s="1913"/>
      <c r="BV436" s="1913"/>
      <c r="BW436" s="1913"/>
      <c r="BX436" s="1340"/>
      <c r="BY436" s="1913"/>
      <c r="BZ436" s="1913"/>
      <c r="CA436" s="1913"/>
      <c r="CB436" s="1913"/>
      <c r="CC436" s="1913"/>
      <c r="CD436" s="1913"/>
      <c r="CE436" s="1913"/>
      <c r="CF436" s="1340"/>
      <c r="CG436" s="1913"/>
      <c r="CH436" s="1913"/>
      <c r="CI436" s="1913"/>
      <c r="CJ436" s="1913"/>
      <c r="CK436" s="1913"/>
      <c r="CL436" s="1913"/>
      <c r="CM436" s="1913"/>
      <c r="CN436" s="1340"/>
      <c r="CO436" s="1913"/>
      <c r="CP436" s="1913"/>
      <c r="CQ436" s="1913"/>
      <c r="CR436" s="1913"/>
      <c r="CS436" s="1913"/>
      <c r="CT436" s="1913"/>
      <c r="CU436" s="1913"/>
      <c r="CV436" s="1340"/>
      <c r="CW436" s="1913"/>
      <c r="CX436" s="1913"/>
      <c r="CY436" s="1913"/>
      <c r="CZ436" s="1913"/>
      <c r="DA436" s="1913"/>
      <c r="DB436" s="1913"/>
      <c r="DC436" s="1913"/>
      <c r="DD436" s="1340"/>
      <c r="DE436" s="1913"/>
      <c r="DF436" s="1913"/>
      <c r="DG436" s="1913"/>
      <c r="DH436" s="1913"/>
      <c r="DI436" s="1913"/>
      <c r="DJ436" s="1913"/>
      <c r="DK436" s="1913"/>
      <c r="DL436" s="1340"/>
      <c r="DM436" s="1913"/>
      <c r="DN436" s="1913"/>
      <c r="DO436" s="1913"/>
      <c r="DP436" s="1913"/>
      <c r="DQ436" s="1913"/>
      <c r="DR436" s="1913"/>
      <c r="DS436" s="1913"/>
      <c r="DT436" s="1340"/>
      <c r="DU436" s="1913"/>
      <c r="DV436" s="1913"/>
      <c r="DW436" s="1913"/>
      <c r="DX436" s="1913"/>
      <c r="DY436" s="1913"/>
      <c r="DZ436" s="1913"/>
      <c r="EA436" s="1913"/>
      <c r="EB436" s="1340"/>
      <c r="EC436" s="1913"/>
      <c r="ED436" s="1913"/>
      <c r="EE436" s="1913"/>
      <c r="EF436" s="1913"/>
      <c r="EG436" s="1913"/>
      <c r="EH436" s="1913"/>
      <c r="EI436" s="1913"/>
      <c r="EJ436" s="1340"/>
      <c r="EK436" s="1913"/>
      <c r="EL436" s="1913"/>
      <c r="EM436" s="1913"/>
      <c r="EN436" s="1913"/>
      <c r="EO436" s="1913"/>
      <c r="EP436" s="1913"/>
      <c r="EQ436" s="1913"/>
      <c r="ER436" s="1340"/>
      <c r="ES436" s="1913"/>
      <c r="ET436" s="1913"/>
      <c r="EU436" s="1913"/>
      <c r="EV436" s="1913"/>
      <c r="EW436" s="1913"/>
      <c r="EX436" s="1913"/>
      <c r="EY436" s="1913"/>
      <c r="EZ436" s="1340"/>
      <c r="FA436" s="1913"/>
      <c r="FB436" s="1913"/>
      <c r="FC436" s="1913"/>
      <c r="FD436" s="1913"/>
      <c r="FE436" s="1913"/>
      <c r="FF436" s="1913"/>
      <c r="FG436" s="1913"/>
      <c r="FH436" s="1340"/>
      <c r="FI436" s="1913"/>
      <c r="FJ436" s="1913"/>
      <c r="FK436" s="1913"/>
      <c r="FL436" s="1913"/>
      <c r="FM436" s="1913"/>
      <c r="FN436" s="1913"/>
      <c r="FO436" s="1913"/>
      <c r="FP436" s="1340"/>
      <c r="FQ436" s="1913"/>
      <c r="FR436" s="1913"/>
      <c r="FS436" s="1913"/>
      <c r="FT436" s="1913"/>
      <c r="FU436" s="1913"/>
      <c r="FV436" s="1913"/>
      <c r="FW436" s="1913"/>
      <c r="FX436" s="1340"/>
      <c r="FY436" s="1913"/>
      <c r="FZ436" s="1913"/>
      <c r="GA436" s="1913"/>
      <c r="GB436" s="1913"/>
      <c r="GC436" s="1913"/>
      <c r="GD436" s="1913"/>
      <c r="GE436" s="1913"/>
      <c r="GF436" s="1340"/>
      <c r="GG436" s="1913"/>
      <c r="GH436" s="1913"/>
      <c r="GI436" s="1913"/>
      <c r="GJ436" s="1913"/>
      <c r="GK436" s="1913"/>
      <c r="GL436" s="1913"/>
      <c r="GM436" s="1913"/>
      <c r="GN436" s="1340"/>
      <c r="GO436" s="1913"/>
      <c r="GP436" s="1913"/>
      <c r="GQ436" s="1913"/>
      <c r="GR436" s="1913"/>
      <c r="GS436" s="1913"/>
      <c r="GT436" s="1913"/>
      <c r="GU436" s="1913"/>
      <c r="GV436" s="1340"/>
      <c r="GW436" s="1913"/>
      <c r="GX436" s="1913"/>
    </row>
    <row r="437" spans="1:206" s="1340" customFormat="1" ht="13.5" customHeight="1">
      <c r="A437" s="1945"/>
      <c r="B437" s="1974" t="s">
        <v>1</v>
      </c>
      <c r="C437" s="1945"/>
      <c r="D437" s="1945"/>
      <c r="E437" s="1945"/>
      <c r="F437" s="1976"/>
      <c r="G437" s="1964"/>
      <c r="H437" s="1977"/>
      <c r="I437" s="1966"/>
      <c r="J437" s="1965" t="s">
        <v>1649</v>
      </c>
      <c r="K437" s="1921"/>
      <c r="L437" s="1920"/>
    </row>
    <row r="438" spans="1:206" s="1340" customFormat="1" ht="49.5" customHeight="1">
      <c r="A438" s="1945"/>
      <c r="B438" s="2192" t="s">
        <v>785</v>
      </c>
      <c r="C438" s="2192"/>
      <c r="D438" s="2192"/>
      <c r="E438" s="2192"/>
      <c r="F438" s="2192"/>
      <c r="G438" s="2192"/>
      <c r="H438" s="2192"/>
      <c r="I438" s="2192"/>
      <c r="J438" s="2192"/>
      <c r="K438" s="1921"/>
      <c r="L438" s="1920"/>
    </row>
    <row r="439" spans="1:206" s="1340" customFormat="1" ht="14.25" customHeight="1">
      <c r="A439" s="1945"/>
      <c r="B439" s="1974" t="s">
        <v>2</v>
      </c>
      <c r="C439" s="2127"/>
      <c r="D439" s="1945"/>
      <c r="E439" s="1945"/>
      <c r="F439" s="1976"/>
      <c r="G439" s="1945"/>
      <c r="H439" s="1965"/>
      <c r="I439" s="1966"/>
      <c r="J439" s="1965" t="s">
        <v>1649</v>
      </c>
      <c r="K439" s="1921"/>
      <c r="L439" s="1920"/>
    </row>
    <row r="440" spans="1:206" s="1340" customFormat="1">
      <c r="A440" s="1945"/>
      <c r="B440" s="2011" t="s">
        <v>610</v>
      </c>
      <c r="C440" s="2011"/>
      <c r="D440" s="2011"/>
      <c r="E440" s="2011"/>
      <c r="F440" s="2011"/>
      <c r="G440" s="2011"/>
      <c r="H440" s="2011"/>
      <c r="I440" s="1966"/>
      <c r="J440" s="1965" t="s">
        <v>1649</v>
      </c>
      <c r="K440" s="1921"/>
      <c r="L440" s="1920"/>
    </row>
    <row r="441" spans="1:206" s="1340" customFormat="1" ht="23.25" customHeight="1">
      <c r="A441" s="1945"/>
      <c r="B441" s="2192" t="s">
        <v>760</v>
      </c>
      <c r="C441" s="2192"/>
      <c r="D441" s="2192"/>
      <c r="E441" s="2192"/>
      <c r="F441" s="2192"/>
      <c r="G441" s="2192"/>
      <c r="H441" s="2192"/>
      <c r="I441" s="2192"/>
      <c r="J441" s="2192"/>
      <c r="K441" s="1921"/>
      <c r="L441" s="1920"/>
    </row>
    <row r="442" spans="1:206" ht="15" customHeight="1">
      <c r="A442" s="1092"/>
      <c r="B442" s="1981" t="s">
        <v>652</v>
      </c>
      <c r="C442" s="1982" t="s">
        <v>1978</v>
      </c>
      <c r="D442" s="1920"/>
      <c r="E442" s="1982"/>
      <c r="F442" s="1982"/>
      <c r="G442" s="1982"/>
      <c r="H442" s="1982"/>
      <c r="I442" s="1982"/>
      <c r="J442" s="1982" t="s">
        <v>1649</v>
      </c>
      <c r="K442" s="1921"/>
    </row>
    <row r="443" spans="1:206" ht="15.75" thickBot="1">
      <c r="A443" s="1092"/>
      <c r="B443" s="2031"/>
      <c r="C443" s="1983" t="s">
        <v>1792</v>
      </c>
      <c r="D443" s="1920"/>
      <c r="E443" s="2031"/>
      <c r="F443" s="2031"/>
      <c r="G443" s="2031"/>
      <c r="H443" s="2031"/>
      <c r="I443" s="1989"/>
      <c r="J443" s="1984" t="s">
        <v>1649</v>
      </c>
      <c r="K443" s="1921"/>
    </row>
    <row r="444" spans="1:206" ht="15.75" thickBot="1">
      <c r="A444" s="1092"/>
      <c r="B444" s="1092"/>
      <c r="C444" s="2005" t="s">
        <v>10</v>
      </c>
      <c r="D444" s="2006" t="s">
        <v>11</v>
      </c>
      <c r="E444" s="2006" t="s">
        <v>12</v>
      </c>
      <c r="F444" s="2006" t="s">
        <v>13</v>
      </c>
      <c r="G444" s="2006" t="s">
        <v>14</v>
      </c>
      <c r="H444" s="2140" t="s">
        <v>1835</v>
      </c>
      <c r="I444" s="2008">
        <f>$G$17</f>
        <v>0.27</v>
      </c>
      <c r="J444" s="2007" t="s">
        <v>1834</v>
      </c>
      <c r="K444" s="1921"/>
    </row>
    <row r="445" spans="1:206">
      <c r="A445" s="1092"/>
      <c r="B445" s="1985"/>
      <c r="C445" s="2002" t="s">
        <v>1864</v>
      </c>
      <c r="D445" s="2003" t="s">
        <v>1888</v>
      </c>
      <c r="E445" s="2004">
        <v>4460</v>
      </c>
      <c r="F445" s="2003">
        <v>1</v>
      </c>
      <c r="G445" s="2004">
        <v>6</v>
      </c>
      <c r="H445" s="2154">
        <v>7281.8181818181811</v>
      </c>
      <c r="I445" s="2115">
        <f t="shared" ref="I445:I450" si="43">H445-H445*$I$444</f>
        <v>5315.7272727272721</v>
      </c>
      <c r="J445" s="2103">
        <f t="shared" ref="J445:J450" si="44">H445*0.8</f>
        <v>5825.454545454545</v>
      </c>
      <c r="K445" s="1921"/>
    </row>
    <row r="446" spans="1:206">
      <c r="A446" s="1092"/>
      <c r="B446" s="1985"/>
      <c r="C446" s="1999" t="s">
        <v>1865</v>
      </c>
      <c r="D446" s="2000" t="s">
        <v>1889</v>
      </c>
      <c r="E446" s="2001">
        <v>5070</v>
      </c>
      <c r="F446" s="2000">
        <v>1</v>
      </c>
      <c r="G446" s="2001">
        <v>4</v>
      </c>
      <c r="H446" s="2155">
        <v>8527.2999999999993</v>
      </c>
      <c r="I446" s="2115">
        <f t="shared" si="43"/>
        <v>6224.9289999999992</v>
      </c>
      <c r="J446" s="2104">
        <f t="shared" si="44"/>
        <v>6821.84</v>
      </c>
      <c r="K446" s="1921"/>
    </row>
    <row r="447" spans="1:206">
      <c r="A447" s="1092"/>
      <c r="B447" s="1985"/>
      <c r="C447" s="2002" t="s">
        <v>1866</v>
      </c>
      <c r="D447" s="2003" t="s">
        <v>1887</v>
      </c>
      <c r="E447" s="2004">
        <v>5680</v>
      </c>
      <c r="F447" s="2003">
        <v>1</v>
      </c>
      <c r="G447" s="2004">
        <v>4</v>
      </c>
      <c r="H447" s="2154">
        <v>10407.272727272726</v>
      </c>
      <c r="I447" s="2115">
        <f t="shared" si="43"/>
        <v>7597.3090909090897</v>
      </c>
      <c r="J447" s="2103">
        <f t="shared" si="44"/>
        <v>8325.818181818182</v>
      </c>
      <c r="K447" s="1921"/>
    </row>
    <row r="448" spans="1:206">
      <c r="A448" s="1092"/>
      <c r="B448" s="1985"/>
      <c r="C448" s="1999" t="s">
        <v>1867</v>
      </c>
      <c r="D448" s="2000" t="s">
        <v>1886</v>
      </c>
      <c r="E448" s="2001">
        <v>6290</v>
      </c>
      <c r="F448" s="2000">
        <v>1</v>
      </c>
      <c r="G448" s="2001">
        <v>3</v>
      </c>
      <c r="H448" s="2155">
        <v>12256.363636363634</v>
      </c>
      <c r="I448" s="2115">
        <f t="shared" si="43"/>
        <v>8947.1454545454526</v>
      </c>
      <c r="J448" s="2104">
        <f t="shared" si="44"/>
        <v>9805.0909090909081</v>
      </c>
      <c r="K448" s="1921"/>
    </row>
    <row r="449" spans="1:11">
      <c r="A449" s="1092"/>
      <c r="B449" s="1985"/>
      <c r="C449" s="2002" t="s">
        <v>1868</v>
      </c>
      <c r="D449" s="2003" t="s">
        <v>1885</v>
      </c>
      <c r="E449" s="2004">
        <v>6900</v>
      </c>
      <c r="F449" s="2003">
        <v>1</v>
      </c>
      <c r="G449" s="2004">
        <v>3</v>
      </c>
      <c r="H449" s="2154">
        <v>13909.090909090908</v>
      </c>
      <c r="I449" s="2115">
        <f t="shared" si="43"/>
        <v>10153.636363636362</v>
      </c>
      <c r="J449" s="2103">
        <f t="shared" si="44"/>
        <v>11127.272727272728</v>
      </c>
      <c r="K449" s="1921"/>
    </row>
    <row r="450" spans="1:11">
      <c r="A450" s="1092"/>
      <c r="B450" s="1985"/>
      <c r="C450" s="2171" t="s">
        <v>1869</v>
      </c>
      <c r="D450" s="2172" t="s">
        <v>1884</v>
      </c>
      <c r="E450" s="2173">
        <v>7510</v>
      </c>
      <c r="F450" s="2172">
        <v>1</v>
      </c>
      <c r="G450" s="2173">
        <v>3</v>
      </c>
      <c r="H450" s="2168">
        <v>15545.454545454544</v>
      </c>
      <c r="I450" s="2142">
        <f t="shared" si="43"/>
        <v>11348.181818181816</v>
      </c>
      <c r="J450" s="2141">
        <f t="shared" si="44"/>
        <v>12436.363636363636</v>
      </c>
      <c r="K450" s="1921"/>
    </row>
    <row r="451" spans="1:11" s="2133" customFormat="1">
      <c r="B451" s="1964"/>
      <c r="C451" s="1964"/>
      <c r="D451" s="1964"/>
      <c r="E451" s="1964"/>
      <c r="F451" s="1964"/>
      <c r="G451" s="1964"/>
      <c r="H451" s="2159"/>
      <c r="I451" s="1964"/>
      <c r="J451" s="1964"/>
      <c r="K451" s="1921"/>
    </row>
    <row r="452" spans="1:11">
      <c r="A452" s="1092"/>
      <c r="B452" s="1985"/>
      <c r="C452" s="2134" t="s">
        <v>1966</v>
      </c>
      <c r="D452" s="2044"/>
      <c r="E452" s="2044"/>
      <c r="F452" s="2054"/>
      <c r="G452" s="2061"/>
      <c r="H452" s="2167"/>
      <c r="I452" s="1998"/>
      <c r="J452" s="1986"/>
      <c r="K452" s="1921"/>
    </row>
    <row r="453" spans="1:11">
      <c r="A453" s="1092"/>
      <c r="B453" s="1985"/>
      <c r="C453" s="2143" t="s">
        <v>1792</v>
      </c>
      <c r="D453" s="2144"/>
      <c r="E453" s="2145"/>
      <c r="F453" s="2146"/>
      <c r="G453" s="2147"/>
      <c r="H453" s="2169"/>
      <c r="I453" s="2148"/>
      <c r="J453" s="2149"/>
      <c r="K453" s="1921"/>
    </row>
    <row r="454" spans="1:11">
      <c r="A454" s="1092"/>
      <c r="B454" s="1985"/>
      <c r="C454" s="2002" t="s">
        <v>1584</v>
      </c>
      <c r="D454" s="2111" t="s">
        <v>1878</v>
      </c>
      <c r="E454" s="2004">
        <v>4960</v>
      </c>
      <c r="F454" s="2003">
        <v>1</v>
      </c>
      <c r="G454" s="2004">
        <v>4</v>
      </c>
      <c r="H454" s="2166">
        <v>4601</v>
      </c>
      <c r="I454" s="2188" t="s">
        <v>1825</v>
      </c>
      <c r="J454" s="2188"/>
      <c r="K454" s="1921"/>
    </row>
    <row r="455" spans="1:11">
      <c r="A455" s="1092"/>
      <c r="B455" s="1985"/>
      <c r="C455" s="1999" t="s">
        <v>1585</v>
      </c>
      <c r="D455" s="2112" t="s">
        <v>1879</v>
      </c>
      <c r="E455" s="2001">
        <v>5610</v>
      </c>
      <c r="F455" s="2000">
        <v>1</v>
      </c>
      <c r="G455" s="2001">
        <v>4</v>
      </c>
      <c r="H455" s="2179">
        <v>5201</v>
      </c>
      <c r="I455" s="2188" t="s">
        <v>1825</v>
      </c>
      <c r="J455" s="2188"/>
      <c r="K455" s="1921"/>
    </row>
    <row r="456" spans="1:11">
      <c r="A456" s="1092"/>
      <c r="B456" s="1985"/>
      <c r="C456" s="2002" t="s">
        <v>1586</v>
      </c>
      <c r="D456" s="2111" t="s">
        <v>1880</v>
      </c>
      <c r="E456" s="2004">
        <v>6260</v>
      </c>
      <c r="F456" s="2003">
        <v>1</v>
      </c>
      <c r="G456" s="2004">
        <v>4</v>
      </c>
      <c r="H456" s="2166">
        <v>5801</v>
      </c>
      <c r="I456" s="2188" t="s">
        <v>1825</v>
      </c>
      <c r="J456" s="2188"/>
      <c r="K456" s="1921"/>
    </row>
    <row r="457" spans="1:11">
      <c r="A457" s="1092"/>
      <c r="B457" s="1985"/>
      <c r="C457" s="1999" t="s">
        <v>1587</v>
      </c>
      <c r="D457" s="2112" t="s">
        <v>1881</v>
      </c>
      <c r="E457" s="2001">
        <v>6910</v>
      </c>
      <c r="F457" s="2000">
        <v>1</v>
      </c>
      <c r="G457" s="2001">
        <v>3</v>
      </c>
      <c r="H457" s="2179">
        <v>6401</v>
      </c>
      <c r="I457" s="2188" t="s">
        <v>1825</v>
      </c>
      <c r="J457" s="2188"/>
      <c r="K457" s="1921"/>
    </row>
    <row r="458" spans="1:11">
      <c r="A458" s="1092"/>
      <c r="B458" s="1985"/>
      <c r="C458" s="2002" t="s">
        <v>1588</v>
      </c>
      <c r="D458" s="2111" t="s">
        <v>1882</v>
      </c>
      <c r="E458" s="2004">
        <v>7560</v>
      </c>
      <c r="F458" s="2003">
        <v>1</v>
      </c>
      <c r="G458" s="2004">
        <v>3</v>
      </c>
      <c r="H458" s="2166">
        <v>7301</v>
      </c>
      <c r="I458" s="2188" t="s">
        <v>1825</v>
      </c>
      <c r="J458" s="2188"/>
      <c r="K458" s="1921"/>
    </row>
    <row r="459" spans="1:11">
      <c r="A459" s="1092"/>
      <c r="B459" s="1985"/>
      <c r="C459" s="2043"/>
      <c r="D459" s="2044"/>
      <c r="E459" s="2044"/>
      <c r="F459" s="2054"/>
      <c r="G459" s="2061"/>
      <c r="H459" s="2167"/>
      <c r="I459" s="1998"/>
      <c r="J459" s="1986"/>
      <c r="K459" s="1921"/>
    </row>
    <row r="460" spans="1:11" ht="15" customHeight="1">
      <c r="A460" s="1092"/>
      <c r="B460" s="1983"/>
      <c r="C460" s="1982" t="s">
        <v>1979</v>
      </c>
      <c r="D460" s="1920"/>
      <c r="E460" s="2031"/>
      <c r="F460" s="2031"/>
      <c r="G460" s="2031"/>
      <c r="H460" s="2031"/>
      <c r="I460" s="1989"/>
      <c r="J460" s="1984" t="s">
        <v>1649</v>
      </c>
      <c r="K460" s="1921"/>
    </row>
    <row r="461" spans="1:11" ht="15" customHeight="1" thickBot="1">
      <c r="A461" s="1092"/>
      <c r="B461" s="2031"/>
      <c r="C461" s="1983" t="s">
        <v>1791</v>
      </c>
      <c r="D461" s="1920"/>
      <c r="E461" s="2031"/>
      <c r="F461" s="2031"/>
      <c r="G461" s="2031"/>
      <c r="H461" s="2031"/>
      <c r="I461" s="1989"/>
      <c r="J461" s="1986" t="s">
        <v>1649</v>
      </c>
      <c r="K461" s="1921"/>
    </row>
    <row r="462" spans="1:11" ht="15.75" thickBot="1">
      <c r="A462" s="1092"/>
      <c r="B462" s="1981" t="s">
        <v>650</v>
      </c>
      <c r="C462" s="2005" t="s">
        <v>10</v>
      </c>
      <c r="D462" s="2006" t="s">
        <v>11</v>
      </c>
      <c r="E462" s="2006" t="s">
        <v>12</v>
      </c>
      <c r="F462" s="2006" t="s">
        <v>13</v>
      </c>
      <c r="G462" s="2006" t="s">
        <v>14</v>
      </c>
      <c r="H462" s="2140" t="s">
        <v>1835</v>
      </c>
      <c r="I462" s="2008">
        <f>$G$17</f>
        <v>0.27</v>
      </c>
      <c r="J462" s="2007" t="s">
        <v>1834</v>
      </c>
      <c r="K462" s="1921"/>
    </row>
    <row r="463" spans="1:11">
      <c r="A463" s="1092"/>
      <c r="B463" s="1985"/>
      <c r="C463" s="2002" t="s">
        <v>1858</v>
      </c>
      <c r="D463" s="2003" t="s">
        <v>1888</v>
      </c>
      <c r="E463" s="2004">
        <v>2305</v>
      </c>
      <c r="F463" s="2003">
        <v>1</v>
      </c>
      <c r="G463" s="2004">
        <v>3</v>
      </c>
      <c r="H463" s="2154">
        <v>6038.1818181818171</v>
      </c>
      <c r="I463" s="2115">
        <f t="shared" ref="I463:I468" si="45">H463-H463*$I$462</f>
        <v>4407.8727272727265</v>
      </c>
      <c r="J463" s="2103">
        <f>H463*0.8</f>
        <v>4830.545454545454</v>
      </c>
      <c r="K463" s="1921"/>
    </row>
    <row r="464" spans="1:11">
      <c r="A464" s="1092"/>
      <c r="B464" s="1985"/>
      <c r="C464" s="1999" t="s">
        <v>1859</v>
      </c>
      <c r="D464" s="2000" t="s">
        <v>1889</v>
      </c>
      <c r="E464" s="2001">
        <v>3300</v>
      </c>
      <c r="F464" s="2000">
        <v>1</v>
      </c>
      <c r="G464" s="2001">
        <v>3</v>
      </c>
      <c r="H464" s="2155">
        <v>7347.272727272727</v>
      </c>
      <c r="I464" s="2115">
        <f t="shared" si="45"/>
        <v>5363.5090909090904</v>
      </c>
      <c r="J464" s="2104">
        <f>H464*0.8</f>
        <v>5877.818181818182</v>
      </c>
      <c r="K464" s="1921"/>
    </row>
    <row r="465" spans="1:11">
      <c r="A465" s="1092"/>
      <c r="B465"/>
      <c r="C465" s="2002" t="s">
        <v>1860</v>
      </c>
      <c r="D465" s="2003" t="s">
        <v>1887</v>
      </c>
      <c r="E465" s="2004">
        <v>3400</v>
      </c>
      <c r="F465" s="2003">
        <v>1</v>
      </c>
      <c r="G465" s="2004">
        <v>3</v>
      </c>
      <c r="H465" s="2154">
        <v>8541.818181818182</v>
      </c>
      <c r="I465" s="2115">
        <f t="shared" si="45"/>
        <v>6235.5272727272732</v>
      </c>
      <c r="J465" s="2103">
        <f t="shared" ref="J465:J467" si="46">H465*0.8</f>
        <v>6833.454545454546</v>
      </c>
      <c r="K465" s="1921"/>
    </row>
    <row r="466" spans="1:11">
      <c r="A466" s="1092"/>
      <c r="B466" s="1985"/>
      <c r="C466" s="1999" t="s">
        <v>1861</v>
      </c>
      <c r="D466" s="2000" t="s">
        <v>1886</v>
      </c>
      <c r="E466" s="2001">
        <v>3990</v>
      </c>
      <c r="F466" s="2000">
        <v>1</v>
      </c>
      <c r="G466" s="2001">
        <v>3</v>
      </c>
      <c r="H466" s="2155">
        <v>11090.90909090909</v>
      </c>
      <c r="I466" s="2115">
        <f t="shared" si="45"/>
        <v>8096.363636363636</v>
      </c>
      <c r="J466" s="2104">
        <f t="shared" si="46"/>
        <v>8872.7272727272721</v>
      </c>
      <c r="K466" s="1921"/>
    </row>
    <row r="467" spans="1:11">
      <c r="A467" s="1092"/>
      <c r="B467" s="1985"/>
      <c r="C467" s="2002" t="s">
        <v>1862</v>
      </c>
      <c r="D467" s="2003" t="s">
        <v>1885</v>
      </c>
      <c r="E467" s="2004">
        <v>4550</v>
      </c>
      <c r="F467" s="2003">
        <v>1</v>
      </c>
      <c r="G467" s="2004">
        <v>3</v>
      </c>
      <c r="H467" s="2154">
        <v>11192.72727272727</v>
      </c>
      <c r="I467" s="2115">
        <f t="shared" si="45"/>
        <v>8170.6909090909066</v>
      </c>
      <c r="J467" s="2103">
        <f t="shared" si="46"/>
        <v>8954.1818181818162</v>
      </c>
      <c r="K467" s="1921"/>
    </row>
    <row r="468" spans="1:11">
      <c r="A468" s="1092"/>
      <c r="B468" s="1985"/>
      <c r="C468" s="1999" t="s">
        <v>1863</v>
      </c>
      <c r="D468" s="2000" t="s">
        <v>1884</v>
      </c>
      <c r="E468" s="2001">
        <v>5230</v>
      </c>
      <c r="F468" s="2000">
        <v>1</v>
      </c>
      <c r="G468" s="2001">
        <v>3</v>
      </c>
      <c r="H468" s="2168">
        <v>12665.454545454544</v>
      </c>
      <c r="I468" s="2142">
        <f t="shared" si="45"/>
        <v>9245.7818181818166</v>
      </c>
      <c r="J468" s="2104">
        <f>H468*0.8</f>
        <v>10132.363636363636</v>
      </c>
      <c r="K468" s="1921"/>
    </row>
    <row r="469" spans="1:11">
      <c r="A469" s="1092"/>
      <c r="B469" s="1985"/>
      <c r="C469" s="2113"/>
      <c r="D469" s="1996"/>
      <c r="E469" s="814"/>
      <c r="F469" s="1996"/>
      <c r="G469" s="814"/>
      <c r="H469" s="2167"/>
      <c r="I469"/>
      <c r="J469" s="2135"/>
      <c r="K469" s="1921"/>
    </row>
    <row r="470" spans="1:11">
      <c r="A470" s="1092"/>
      <c r="B470" s="1985"/>
      <c r="C470" s="2136" t="s">
        <v>1965</v>
      </c>
      <c r="D470" s="2044"/>
      <c r="E470" s="2044"/>
      <c r="F470" s="2054"/>
      <c r="G470" s="2061"/>
      <c r="H470" s="2167"/>
      <c r="I470" s="1998"/>
      <c r="J470" s="1986" t="s">
        <v>1649</v>
      </c>
      <c r="K470" s="1921"/>
    </row>
    <row r="471" spans="1:11" ht="15.75" thickBot="1">
      <c r="A471" s="1092"/>
      <c r="B471" s="2031"/>
      <c r="C471" s="1983" t="s">
        <v>1791</v>
      </c>
      <c r="D471" s="1920"/>
      <c r="E471" s="2031"/>
      <c r="F471" s="2031"/>
      <c r="G471" s="2031"/>
      <c r="H471" s="2031"/>
      <c r="I471" s="1989"/>
      <c r="J471" s="1986" t="s">
        <v>1649</v>
      </c>
      <c r="K471" s="1921"/>
    </row>
    <row r="472" spans="1:11" ht="15.75" thickBot="1">
      <c r="A472" s="1092"/>
      <c r="B472" s="2031"/>
      <c r="C472" s="2005" t="s">
        <v>10</v>
      </c>
      <c r="D472" s="2006" t="s">
        <v>11</v>
      </c>
      <c r="E472" s="2006" t="s">
        <v>12</v>
      </c>
      <c r="F472" s="2006" t="s">
        <v>13</v>
      </c>
      <c r="G472" s="2006" t="s">
        <v>14</v>
      </c>
      <c r="H472" s="2140" t="s">
        <v>1835</v>
      </c>
      <c r="I472" s="2185"/>
      <c r="J472" s="2007"/>
      <c r="K472" s="1921"/>
    </row>
    <row r="473" spans="1:11">
      <c r="A473" s="1092"/>
      <c r="B473" s="1985"/>
      <c r="C473" s="2002" t="s">
        <v>1596</v>
      </c>
      <c r="D473" s="2111" t="s">
        <v>1878</v>
      </c>
      <c r="E473" s="2111">
        <v>2350</v>
      </c>
      <c r="F473" s="2111">
        <v>1</v>
      </c>
      <c r="G473" s="2111">
        <v>12</v>
      </c>
      <c r="H473" s="2166">
        <v>3401</v>
      </c>
      <c r="I473" s="2188" t="s">
        <v>1825</v>
      </c>
      <c r="J473" s="2188"/>
      <c r="K473" s="1921"/>
    </row>
    <row r="474" spans="1:11">
      <c r="A474" s="1092"/>
      <c r="B474" s="1985"/>
      <c r="C474" s="1999" t="s">
        <v>1597</v>
      </c>
      <c r="D474" s="2112" t="s">
        <v>1879</v>
      </c>
      <c r="E474" s="2112">
        <v>3215</v>
      </c>
      <c r="F474" s="2112">
        <v>1</v>
      </c>
      <c r="G474" s="2112">
        <v>12</v>
      </c>
      <c r="H474" s="2179">
        <v>3901</v>
      </c>
      <c r="I474" s="2188" t="s">
        <v>1825</v>
      </c>
      <c r="J474" s="2188"/>
      <c r="K474" s="1921"/>
    </row>
    <row r="475" spans="1:11">
      <c r="A475" s="1092"/>
      <c r="B475" s="1985"/>
      <c r="C475" s="2002" t="s">
        <v>1598</v>
      </c>
      <c r="D475" s="2111" t="s">
        <v>1880</v>
      </c>
      <c r="E475" s="2111">
        <v>3620</v>
      </c>
      <c r="F475" s="2111">
        <v>1</v>
      </c>
      <c r="G475" s="2111">
        <v>8</v>
      </c>
      <c r="H475" s="2166">
        <v>4351</v>
      </c>
      <c r="I475" s="2188" t="s">
        <v>1825</v>
      </c>
      <c r="J475" s="2188"/>
      <c r="K475" s="1921"/>
    </row>
    <row r="476" spans="1:11">
      <c r="A476" s="1092"/>
      <c r="B476" s="1985"/>
      <c r="C476" s="1999" t="s">
        <v>1599</v>
      </c>
      <c r="D476" s="2112" t="s">
        <v>1881</v>
      </c>
      <c r="E476" s="2112">
        <v>4255</v>
      </c>
      <c r="F476" s="2112">
        <v>1</v>
      </c>
      <c r="G476" s="2112">
        <v>8</v>
      </c>
      <c r="H476" s="2179">
        <v>4801</v>
      </c>
      <c r="I476" s="2188" t="s">
        <v>1825</v>
      </c>
      <c r="J476" s="2188"/>
      <c r="K476" s="1921"/>
    </row>
    <row r="477" spans="1:11">
      <c r="A477" s="1092"/>
      <c r="B477" s="1985"/>
      <c r="C477" s="2002" t="s">
        <v>1600</v>
      </c>
      <c r="D477" s="2111" t="s">
        <v>1882</v>
      </c>
      <c r="E477" s="2111">
        <v>4890</v>
      </c>
      <c r="F477" s="2111">
        <v>1</v>
      </c>
      <c r="G477" s="2111">
        <v>4</v>
      </c>
      <c r="H477" s="2166">
        <v>5501</v>
      </c>
      <c r="I477" s="2188" t="s">
        <v>1825</v>
      </c>
      <c r="J477" s="2188"/>
      <c r="K477" s="1921"/>
    </row>
    <row r="478" spans="1:11">
      <c r="A478" s="1092"/>
      <c r="B478" s="1985"/>
      <c r="C478" s="1999" t="s">
        <v>1601</v>
      </c>
      <c r="D478" s="2112" t="s">
        <v>1883</v>
      </c>
      <c r="E478" s="2112">
        <v>5525</v>
      </c>
      <c r="F478" s="2112">
        <v>1</v>
      </c>
      <c r="G478" s="2112">
        <v>4</v>
      </c>
      <c r="H478" s="2179">
        <v>6001</v>
      </c>
      <c r="I478" s="2188" t="s">
        <v>1825</v>
      </c>
      <c r="J478" s="2188"/>
      <c r="K478" s="1921"/>
    </row>
    <row r="479" spans="1:11">
      <c r="A479" s="1092"/>
      <c r="B479" s="1985"/>
      <c r="C479" s="2043"/>
      <c r="D479" s="2044"/>
      <c r="E479" s="2044"/>
      <c r="F479" s="2054"/>
      <c r="G479" s="2061"/>
      <c r="H479" s="2167"/>
      <c r="I479" s="1998"/>
      <c r="J479" s="1986"/>
      <c r="K479" s="1921"/>
    </row>
    <row r="480" spans="1:11" ht="15.75" thickBot="1">
      <c r="A480" s="1092"/>
      <c r="B480" s="1981" t="s">
        <v>658</v>
      </c>
      <c r="C480" s="1982" t="s">
        <v>1960</v>
      </c>
      <c r="D480" s="1920"/>
      <c r="E480" s="2031"/>
      <c r="F480" s="2031"/>
      <c r="G480" s="2031"/>
      <c r="H480" s="2031"/>
      <c r="I480" s="1984"/>
      <c r="J480" s="1984"/>
      <c r="K480" s="1921"/>
    </row>
    <row r="481" spans="1:11" ht="15.75" thickBot="1">
      <c r="A481" s="1092"/>
      <c r="B481" s="1092"/>
      <c r="C481" s="2005" t="s">
        <v>10</v>
      </c>
      <c r="D481" s="2006" t="s">
        <v>11</v>
      </c>
      <c r="E481" s="2006" t="s">
        <v>12</v>
      </c>
      <c r="F481" s="2006" t="s">
        <v>13</v>
      </c>
      <c r="G481" s="2006" t="s">
        <v>14</v>
      </c>
      <c r="H481" s="2140" t="s">
        <v>1835</v>
      </c>
      <c r="I481" s="2007"/>
      <c r="J481" s="2007"/>
      <c r="K481" s="1921"/>
    </row>
    <row r="482" spans="1:11">
      <c r="A482" s="1092"/>
      <c r="B482" s="1985"/>
      <c r="C482" s="2002" t="s">
        <v>1658</v>
      </c>
      <c r="D482" s="2003" t="s">
        <v>209</v>
      </c>
      <c r="E482" s="2004">
        <v>1120</v>
      </c>
      <c r="F482" s="2003">
        <v>1</v>
      </c>
      <c r="G482" s="2004">
        <v>10</v>
      </c>
      <c r="H482" s="2166">
        <v>877</v>
      </c>
      <c r="I482" s="2188" t="s">
        <v>1825</v>
      </c>
      <c r="J482" s="2188"/>
      <c r="K482" s="1921"/>
    </row>
    <row r="483" spans="1:11">
      <c r="A483" s="1092"/>
      <c r="B483" s="1985"/>
      <c r="C483" s="2043"/>
      <c r="D483" s="2044"/>
      <c r="E483" s="2044"/>
      <c r="F483" s="2054"/>
      <c r="G483" s="2061"/>
      <c r="H483" s="2167"/>
      <c r="I483" s="1998"/>
      <c r="J483" s="1986"/>
      <c r="K483" s="1921"/>
    </row>
    <row r="484" spans="1:11" ht="15.75" thickBot="1">
      <c r="A484" s="1092"/>
      <c r="B484" s="1981" t="s">
        <v>659</v>
      </c>
      <c r="C484" s="1991" t="s">
        <v>1961</v>
      </c>
      <c r="D484" s="1920"/>
      <c r="E484" s="1991"/>
      <c r="F484" s="1991"/>
      <c r="G484" s="1991"/>
      <c r="H484" s="1991"/>
      <c r="I484" s="1989"/>
      <c r="J484" s="1984"/>
      <c r="K484" s="1921"/>
    </row>
    <row r="485" spans="1:11" ht="15.75" thickBot="1">
      <c r="A485" s="1092"/>
      <c r="B485" s="1092"/>
      <c r="C485" s="2005" t="s">
        <v>10</v>
      </c>
      <c r="D485" s="2006" t="s">
        <v>11</v>
      </c>
      <c r="E485" s="2006" t="s">
        <v>12</v>
      </c>
      <c r="F485" s="2006" t="s">
        <v>13</v>
      </c>
      <c r="G485" s="2006" t="s">
        <v>14</v>
      </c>
      <c r="H485" s="2140" t="s">
        <v>1835</v>
      </c>
      <c r="I485" s="2007"/>
      <c r="J485" s="2007"/>
      <c r="K485" s="1921"/>
    </row>
    <row r="486" spans="1:11">
      <c r="A486" s="1092"/>
      <c r="B486" s="1985"/>
      <c r="C486" s="1999" t="s">
        <v>1657</v>
      </c>
      <c r="D486" s="2000" t="s">
        <v>209</v>
      </c>
      <c r="E486" s="2001">
        <v>880</v>
      </c>
      <c r="F486" s="2000">
        <v>1</v>
      </c>
      <c r="G486" s="2001">
        <v>12</v>
      </c>
      <c r="H486" s="2179">
        <v>856</v>
      </c>
      <c r="I486" s="2188" t="s">
        <v>1825</v>
      </c>
      <c r="J486" s="2188"/>
      <c r="K486" s="1921"/>
    </row>
    <row r="487" spans="1:11">
      <c r="A487" s="1092"/>
      <c r="B487" s="1985"/>
      <c r="C487" s="2043"/>
      <c r="D487" s="2044"/>
      <c r="E487" s="2044"/>
      <c r="F487" s="2054"/>
      <c r="G487" s="2061"/>
      <c r="H487" s="2167"/>
      <c r="I487" s="1998"/>
      <c r="J487" s="1986"/>
      <c r="K487" s="1921"/>
    </row>
    <row r="488" spans="1:11" ht="15.75" thickBot="1">
      <c r="A488" s="1092"/>
      <c r="B488" s="1981" t="s">
        <v>667</v>
      </c>
      <c r="C488" s="1982" t="s">
        <v>1962</v>
      </c>
      <c r="D488" s="1920"/>
      <c r="E488" s="814"/>
      <c r="F488" s="814"/>
      <c r="G488" s="814"/>
      <c r="H488" s="2165"/>
      <c r="I488" s="1989"/>
      <c r="J488" s="1984"/>
      <c r="K488" s="1921"/>
    </row>
    <row r="489" spans="1:11" ht="15.75" thickBot="1">
      <c r="A489" s="1092"/>
      <c r="B489" s="1092"/>
      <c r="C489" s="2005" t="s">
        <v>10</v>
      </c>
      <c r="D489" s="2006" t="s">
        <v>11</v>
      </c>
      <c r="E489" s="2006" t="s">
        <v>12</v>
      </c>
      <c r="F489" s="2006" t="s">
        <v>13</v>
      </c>
      <c r="G489" s="2006"/>
      <c r="H489" s="2140" t="s">
        <v>1835</v>
      </c>
      <c r="I489" s="2008">
        <f>$G$17</f>
        <v>0.27</v>
      </c>
      <c r="J489" s="2007" t="s">
        <v>1834</v>
      </c>
      <c r="K489" s="1921"/>
    </row>
    <row r="490" spans="1:11">
      <c r="A490" s="1092"/>
      <c r="B490"/>
      <c r="C490" s="2002" t="s">
        <v>1957</v>
      </c>
      <c r="D490" s="2003" t="s">
        <v>190</v>
      </c>
      <c r="E490" s="2004">
        <v>150</v>
      </c>
      <c r="F490" s="2003">
        <v>1</v>
      </c>
      <c r="G490" s="2004"/>
      <c r="H490" s="2166">
        <v>400</v>
      </c>
      <c r="I490" s="2115">
        <f>H490-H490*$I$489</f>
        <v>292</v>
      </c>
      <c r="J490" s="2103">
        <f>H490*0.8</f>
        <v>320</v>
      </c>
      <c r="K490" s="1921"/>
    </row>
    <row r="491" spans="1:11">
      <c r="A491" s="1092"/>
      <c r="B491" s="1985"/>
      <c r="C491" s="2043"/>
      <c r="D491" s="2044"/>
      <c r="E491" s="2044"/>
      <c r="F491" s="2054"/>
      <c r="G491" s="2061"/>
      <c r="H491" s="2167"/>
      <c r="I491" s="1998"/>
      <c r="J491" s="1986"/>
      <c r="K491" s="1921"/>
    </row>
    <row r="492" spans="1:11" ht="15.75" thickBot="1">
      <c r="A492" s="1092"/>
      <c r="B492" s="2116" t="s">
        <v>668</v>
      </c>
      <c r="C492" s="1982" t="s">
        <v>669</v>
      </c>
      <c r="D492" s="1920"/>
      <c r="E492" s="1983"/>
      <c r="F492" s="1983"/>
      <c r="G492" s="1983"/>
      <c r="H492" s="2167"/>
      <c r="I492" s="1998"/>
      <c r="J492" s="1986"/>
      <c r="K492" s="1921"/>
    </row>
    <row r="493" spans="1:11" ht="14.25" customHeight="1" thickBot="1">
      <c r="A493" s="1092"/>
      <c r="B493" s="1920"/>
      <c r="C493" s="2005" t="s">
        <v>10</v>
      </c>
      <c r="D493" s="2006" t="s">
        <v>11</v>
      </c>
      <c r="E493" s="2006" t="s">
        <v>12</v>
      </c>
      <c r="F493" s="2006" t="s">
        <v>13</v>
      </c>
      <c r="G493" s="2006" t="s">
        <v>14</v>
      </c>
      <c r="H493" s="2140" t="s">
        <v>1835</v>
      </c>
      <c r="I493" s="2007"/>
      <c r="J493" s="2007"/>
      <c r="K493" s="1921"/>
    </row>
    <row r="494" spans="1:11">
      <c r="A494" s="1092"/>
      <c r="B494" s="1985"/>
      <c r="C494" s="2002" t="s">
        <v>1576</v>
      </c>
      <c r="D494" s="2003" t="s">
        <v>665</v>
      </c>
      <c r="E494" s="2004">
        <v>110</v>
      </c>
      <c r="F494" s="2003">
        <v>1</v>
      </c>
      <c r="G494" s="2004"/>
      <c r="H494" s="2166">
        <v>84</v>
      </c>
      <c r="I494" s="2188" t="s">
        <v>1825</v>
      </c>
      <c r="J494" s="2188"/>
      <c r="K494" s="1921"/>
    </row>
    <row r="495" spans="1:11">
      <c r="A495" s="1092"/>
      <c r="B495" s="1985"/>
      <c r="C495" s="1999" t="s">
        <v>1577</v>
      </c>
      <c r="D495" s="2000" t="s">
        <v>916</v>
      </c>
      <c r="E495" s="2001">
        <v>140</v>
      </c>
      <c r="F495" s="2000">
        <v>1</v>
      </c>
      <c r="G495" s="2001"/>
      <c r="H495" s="2179">
        <v>194</v>
      </c>
      <c r="I495" s="2188" t="s">
        <v>1825</v>
      </c>
      <c r="J495" s="2188"/>
      <c r="K495" s="1921"/>
    </row>
    <row r="496" spans="1:11" customFormat="1">
      <c r="B496" s="2043"/>
      <c r="C496" s="2043"/>
      <c r="D496" s="2044"/>
      <c r="E496" s="2044"/>
      <c r="F496" s="2054"/>
      <c r="G496" s="2061"/>
      <c r="H496" s="2170"/>
      <c r="I496" s="1998"/>
      <c r="J496" s="1986"/>
      <c r="K496" s="1921"/>
    </row>
    <row r="497" spans="1:34" ht="15.75" thickBot="1">
      <c r="A497" s="1092"/>
      <c r="B497" s="1981" t="s">
        <v>74</v>
      </c>
      <c r="C497" s="1982" t="s">
        <v>1963</v>
      </c>
      <c r="D497" s="1920"/>
      <c r="E497" s="1983"/>
      <c r="F497" s="1983"/>
      <c r="G497" s="1983"/>
      <c r="H497" s="2161"/>
      <c r="I497" s="1989"/>
      <c r="J497" s="1984"/>
      <c r="K497" s="1921"/>
    </row>
    <row r="498" spans="1:34" ht="15.75" thickBot="1">
      <c r="A498" s="1092"/>
      <c r="B498" s="1920"/>
      <c r="C498" s="2005" t="s">
        <v>10</v>
      </c>
      <c r="D498" s="2006" t="s">
        <v>11</v>
      </c>
      <c r="E498" s="2006" t="s">
        <v>12</v>
      </c>
      <c r="F498" s="2006" t="s">
        <v>13</v>
      </c>
      <c r="G498" s="2006" t="s">
        <v>14</v>
      </c>
      <c r="H498" s="2140" t="s">
        <v>1835</v>
      </c>
      <c r="I498" s="2008">
        <f>$G$17</f>
        <v>0.27</v>
      </c>
      <c r="J498" s="2007" t="s">
        <v>1834</v>
      </c>
      <c r="K498" s="1921"/>
    </row>
    <row r="499" spans="1:34">
      <c r="A499" s="1092"/>
      <c r="B499" s="1987"/>
      <c r="C499" s="2002" t="s">
        <v>1958</v>
      </c>
      <c r="D499" s="2003" t="s">
        <v>190</v>
      </c>
      <c r="E499" s="2004">
        <v>115</v>
      </c>
      <c r="F499" s="2003">
        <v>25</v>
      </c>
      <c r="G499" s="2004">
        <v>100</v>
      </c>
      <c r="H499" s="2166">
        <v>119</v>
      </c>
      <c r="I499" s="2188" t="s">
        <v>1825</v>
      </c>
      <c r="J499" s="2188"/>
      <c r="K499" s="1921"/>
    </row>
    <row r="500" spans="1:34">
      <c r="A500" s="1092"/>
      <c r="B500" s="1987"/>
      <c r="C500" s="1999" t="s">
        <v>285</v>
      </c>
      <c r="D500" s="2000" t="s">
        <v>190</v>
      </c>
      <c r="E500" s="2001">
        <v>115</v>
      </c>
      <c r="F500" s="2000">
        <v>25</v>
      </c>
      <c r="G500" s="2001">
        <v>100</v>
      </c>
      <c r="H500" s="2179">
        <v>119</v>
      </c>
      <c r="I500" s="2188" t="s">
        <v>1825</v>
      </c>
      <c r="J500" s="2188"/>
      <c r="K500" s="1921"/>
    </row>
    <row r="501" spans="1:34">
      <c r="A501" s="1092"/>
      <c r="B501" s="1985"/>
      <c r="C501"/>
      <c r="D501" s="1996"/>
      <c r="E501" s="1996"/>
      <c r="F501" s="1996"/>
      <c r="G501" s="1996"/>
      <c r="H501" s="2165"/>
      <c r="I501" s="2062"/>
      <c r="J501" s="1998"/>
      <c r="K501" s="1921"/>
      <c r="O501" s="2150"/>
      <c r="P501" s="2150"/>
      <c r="Q501" s="2150"/>
      <c r="R501" s="2150"/>
      <c r="S501" s="2150"/>
      <c r="T501" s="2150"/>
      <c r="U501" s="2150"/>
      <c r="V501" s="2150"/>
      <c r="W501" s="2150"/>
      <c r="X501" s="2150"/>
      <c r="Y501" s="2150"/>
      <c r="Z501" s="2150"/>
      <c r="AA501" s="2150"/>
      <c r="AB501" s="2150"/>
      <c r="AC501" s="2150"/>
      <c r="AD501" s="2150"/>
      <c r="AE501" s="2150"/>
      <c r="AF501" s="2150"/>
      <c r="AG501" s="2150"/>
      <c r="AH501" s="2150"/>
    </row>
    <row r="502" spans="1:34" ht="15.75" thickBot="1">
      <c r="A502" s="1092"/>
      <c r="B502" s="1981" t="s">
        <v>612</v>
      </c>
      <c r="C502" s="1991"/>
      <c r="D502" s="1991" t="s">
        <v>76</v>
      </c>
      <c r="E502" s="1991"/>
      <c r="F502" s="1991"/>
      <c r="G502" s="1991"/>
      <c r="H502" s="1991"/>
      <c r="I502" s="1991"/>
      <c r="J502" s="1991"/>
      <c r="K502" s="1921"/>
      <c r="N502" s="2150"/>
      <c r="O502" s="2150"/>
      <c r="P502" s="2150"/>
      <c r="Q502" s="2150"/>
      <c r="R502" s="2150"/>
      <c r="S502" s="2150"/>
      <c r="T502" s="2150"/>
      <c r="U502" s="2150"/>
      <c r="V502" s="2150"/>
      <c r="W502" s="2150"/>
      <c r="X502" s="2150"/>
      <c r="Y502" s="2150"/>
      <c r="Z502" s="2150"/>
      <c r="AA502" s="2150"/>
      <c r="AB502" s="2150"/>
      <c r="AC502" s="2150"/>
      <c r="AD502" s="2150"/>
      <c r="AE502" s="2150"/>
      <c r="AF502" s="2150"/>
      <c r="AG502" s="2150"/>
    </row>
    <row r="503" spans="1:34" ht="15.75" thickBot="1">
      <c r="A503" s="1092"/>
      <c r="B503" s="1920"/>
      <c r="C503" s="2005" t="s">
        <v>10</v>
      </c>
      <c r="D503" s="2006" t="s">
        <v>11</v>
      </c>
      <c r="E503" s="2006" t="s">
        <v>12</v>
      </c>
      <c r="F503" s="2006" t="s">
        <v>13</v>
      </c>
      <c r="G503" s="2006" t="s">
        <v>14</v>
      </c>
      <c r="H503" s="2140" t="s">
        <v>1835</v>
      </c>
      <c r="I503" s="2008">
        <f>$G$17</f>
        <v>0.27</v>
      </c>
      <c r="J503" s="2007" t="s">
        <v>1834</v>
      </c>
      <c r="K503" s="1921"/>
      <c r="O503" s="2150"/>
      <c r="P503" s="2150"/>
      <c r="Q503" s="2150"/>
      <c r="R503" s="2150"/>
      <c r="S503" s="2150"/>
      <c r="T503" s="2150"/>
      <c r="U503" s="2150"/>
      <c r="V503" s="2150"/>
      <c r="W503" s="2150"/>
      <c r="X503" s="2150"/>
      <c r="Y503" s="2150"/>
      <c r="Z503" s="2150"/>
      <c r="AA503" s="2150"/>
      <c r="AB503" s="2150"/>
      <c r="AC503" s="2150"/>
      <c r="AD503" s="2150"/>
      <c r="AE503" s="2150"/>
      <c r="AF503" s="2150"/>
      <c r="AG503" s="2150"/>
      <c r="AH503" s="2150"/>
    </row>
    <row r="504" spans="1:34">
      <c r="A504" s="1092"/>
      <c r="B504" s="1985"/>
      <c r="C504" s="2002" t="s">
        <v>1840</v>
      </c>
      <c r="D504" s="2003" t="s">
        <v>77</v>
      </c>
      <c r="E504" s="2004">
        <v>350</v>
      </c>
      <c r="F504" s="2003">
        <v>1</v>
      </c>
      <c r="G504" s="2004">
        <v>24</v>
      </c>
      <c r="H504" s="2154">
        <v>816.54545454545462</v>
      </c>
      <c r="I504" s="2115">
        <f>H504-H504*$I$503</f>
        <v>596.07818181818186</v>
      </c>
      <c r="J504" s="2103">
        <f t="shared" ref="J504:J509" si="47">H504*0.8</f>
        <v>653.23636363636376</v>
      </c>
      <c r="K504" s="1921"/>
      <c r="O504" s="2150"/>
      <c r="P504" s="2150"/>
      <c r="Q504" s="2150"/>
      <c r="R504" s="2150"/>
      <c r="S504" s="2150"/>
      <c r="T504" s="2150"/>
      <c r="U504" s="2150"/>
      <c r="V504" s="2150"/>
      <c r="W504" s="2150"/>
      <c r="X504" s="2150"/>
      <c r="Y504" s="2150"/>
      <c r="Z504" s="2150"/>
      <c r="AA504" s="2150"/>
      <c r="AB504" s="2150"/>
      <c r="AC504" s="2150"/>
      <c r="AD504" s="2150"/>
      <c r="AE504" s="2150"/>
      <c r="AF504" s="2150"/>
      <c r="AG504" s="2150"/>
      <c r="AH504" s="2150"/>
    </row>
    <row r="505" spans="1:34">
      <c r="A505" s="1092"/>
      <c r="B505" s="1987"/>
      <c r="C505" s="1999" t="s">
        <v>1841</v>
      </c>
      <c r="D505" s="2000" t="s">
        <v>78</v>
      </c>
      <c r="E505" s="2001">
        <v>500</v>
      </c>
      <c r="F505" s="2000">
        <v>1</v>
      </c>
      <c r="G505" s="2001">
        <v>24</v>
      </c>
      <c r="H505" s="2155">
        <v>1143.8181818181818</v>
      </c>
      <c r="I505" s="2115">
        <f t="shared" ref="I505:I509" si="48">H505-H505*$I$503</f>
        <v>834.98727272727274</v>
      </c>
      <c r="J505" s="2104">
        <f t="shared" si="47"/>
        <v>915.0545454545454</v>
      </c>
      <c r="K505" s="1921"/>
      <c r="O505" s="2150"/>
      <c r="P505" s="2150"/>
      <c r="Q505" s="2150"/>
      <c r="R505" s="2150"/>
      <c r="S505" s="2150"/>
      <c r="T505" s="2150"/>
      <c r="U505" s="2150"/>
      <c r="V505" s="2150"/>
      <c r="W505" s="2150"/>
      <c r="X505" s="2150"/>
      <c r="Y505" s="2150"/>
      <c r="Z505" s="2150"/>
      <c r="AA505" s="2150"/>
      <c r="AB505" s="2150"/>
      <c r="AC505" s="2150"/>
      <c r="AD505" s="2150"/>
      <c r="AE505" s="2150"/>
      <c r="AF505" s="2150"/>
      <c r="AG505" s="2150"/>
      <c r="AH505" s="2150"/>
    </row>
    <row r="506" spans="1:34">
      <c r="A506" s="1092"/>
      <c r="B506" s="1985"/>
      <c r="C506" s="2002" t="s">
        <v>1842</v>
      </c>
      <c r="D506" s="2003" t="s">
        <v>79</v>
      </c>
      <c r="E506" s="2004">
        <v>650</v>
      </c>
      <c r="F506" s="2003">
        <v>1</v>
      </c>
      <c r="G506" s="2004">
        <v>24</v>
      </c>
      <c r="H506" s="2154">
        <v>1471.090909090909</v>
      </c>
      <c r="I506" s="2115">
        <f t="shared" si="48"/>
        <v>1073.8963636363635</v>
      </c>
      <c r="J506" s="2103">
        <f t="shared" si="47"/>
        <v>1176.8727272727272</v>
      </c>
      <c r="K506" s="1921"/>
      <c r="O506" s="2150"/>
      <c r="P506" s="2150"/>
      <c r="Q506" s="2150"/>
      <c r="R506" s="2150"/>
      <c r="S506" s="2150"/>
      <c r="T506" s="2150"/>
      <c r="U506" s="2150"/>
      <c r="V506" s="2150"/>
      <c r="W506" s="2150"/>
      <c r="X506" s="2150"/>
      <c r="Y506" s="2150"/>
      <c r="Z506" s="2150"/>
      <c r="AA506" s="2150"/>
      <c r="AB506" s="2150"/>
      <c r="AC506" s="2150"/>
      <c r="AD506" s="2150"/>
      <c r="AE506" s="2150"/>
      <c r="AF506" s="2150"/>
      <c r="AG506" s="2150"/>
      <c r="AH506" s="2150"/>
    </row>
    <row r="507" spans="1:34">
      <c r="A507" s="1092"/>
      <c r="B507" s="1985"/>
      <c r="C507" s="1999" t="s">
        <v>1843</v>
      </c>
      <c r="D507" s="2000" t="s">
        <v>80</v>
      </c>
      <c r="E507" s="2001">
        <v>435</v>
      </c>
      <c r="F507" s="2000">
        <v>1</v>
      </c>
      <c r="G507" s="2001">
        <v>24</v>
      </c>
      <c r="H507" s="2155">
        <v>963.81818181818176</v>
      </c>
      <c r="I507" s="2115">
        <f t="shared" si="48"/>
        <v>703.58727272727265</v>
      </c>
      <c r="J507" s="2104">
        <f t="shared" si="47"/>
        <v>771.0545454545454</v>
      </c>
      <c r="K507" s="1921"/>
      <c r="O507" s="2150"/>
      <c r="P507" s="2150"/>
      <c r="Q507" s="2150"/>
      <c r="R507" s="2150"/>
      <c r="S507" s="2150"/>
      <c r="T507" s="2150"/>
      <c r="U507" s="2150"/>
      <c r="V507" s="2150"/>
      <c r="W507" s="2150"/>
      <c r="X507" s="2150"/>
      <c r="Y507" s="2150"/>
      <c r="Z507" s="2150"/>
      <c r="AA507" s="2150"/>
      <c r="AB507" s="2150"/>
      <c r="AC507" s="2150"/>
      <c r="AD507" s="2150"/>
      <c r="AE507" s="2150"/>
      <c r="AF507" s="2150"/>
      <c r="AG507" s="2150"/>
      <c r="AH507" s="2150"/>
    </row>
    <row r="508" spans="1:34">
      <c r="A508" s="1092"/>
      <c r="B508" s="1985"/>
      <c r="C508" s="2002" t="s">
        <v>1844</v>
      </c>
      <c r="D508" s="2003" t="s">
        <v>81</v>
      </c>
      <c r="E508" s="2004">
        <v>595</v>
      </c>
      <c r="F508" s="2003">
        <v>1</v>
      </c>
      <c r="G508" s="2004">
        <v>24</v>
      </c>
      <c r="H508" s="2154">
        <v>1307.4545454545455</v>
      </c>
      <c r="I508" s="2115">
        <f t="shared" si="48"/>
        <v>954.44181818181823</v>
      </c>
      <c r="J508" s="2103">
        <f t="shared" si="47"/>
        <v>1045.9636363636364</v>
      </c>
      <c r="K508" s="1921"/>
      <c r="O508" s="2150"/>
      <c r="P508" s="2150"/>
      <c r="Q508" s="2150"/>
      <c r="R508" s="2150"/>
      <c r="S508" s="2150"/>
      <c r="T508" s="2150"/>
      <c r="U508" s="2150"/>
      <c r="V508" s="2150"/>
      <c r="W508" s="2150"/>
      <c r="X508" s="2150"/>
      <c r="Y508" s="2150"/>
      <c r="Z508" s="2150"/>
      <c r="AA508" s="2150"/>
      <c r="AB508" s="2150"/>
      <c r="AC508" s="2150"/>
      <c r="AD508" s="2150"/>
      <c r="AE508" s="2150"/>
      <c r="AF508" s="2150"/>
      <c r="AG508" s="2150"/>
      <c r="AH508" s="2150"/>
    </row>
    <row r="509" spans="1:34">
      <c r="A509" s="1092"/>
      <c r="B509" s="1985"/>
      <c r="C509" s="1999" t="s">
        <v>1845</v>
      </c>
      <c r="D509" s="2000" t="s">
        <v>82</v>
      </c>
      <c r="E509" s="2001">
        <v>790</v>
      </c>
      <c r="F509" s="2000">
        <v>1</v>
      </c>
      <c r="G509" s="2001">
        <v>24</v>
      </c>
      <c r="H509" s="2155">
        <v>1963.6363636363635</v>
      </c>
      <c r="I509" s="2115">
        <f t="shared" si="48"/>
        <v>1433.4545454545455</v>
      </c>
      <c r="J509" s="2104">
        <f t="shared" si="47"/>
        <v>1570.909090909091</v>
      </c>
      <c r="K509" s="1921"/>
      <c r="O509" s="2150"/>
      <c r="P509" s="2150"/>
      <c r="Q509" s="2150"/>
      <c r="R509" s="2150"/>
      <c r="S509" s="2150"/>
      <c r="T509" s="2150"/>
      <c r="U509" s="2150"/>
      <c r="V509" s="2150"/>
      <c r="W509" s="2150"/>
      <c r="X509" s="2150"/>
      <c r="Y509" s="2150"/>
      <c r="Z509" s="2150"/>
      <c r="AA509" s="2150"/>
      <c r="AB509" s="2150"/>
      <c r="AC509" s="2150"/>
      <c r="AD509" s="2150"/>
      <c r="AE509" s="2150"/>
      <c r="AF509" s="2150"/>
      <c r="AG509" s="2150"/>
      <c r="AH509" s="2150"/>
    </row>
    <row r="510" spans="1:34">
      <c r="A510" s="1092"/>
      <c r="B510" s="2066"/>
      <c r="C510" s="2066"/>
      <c r="D510" s="2066"/>
      <c r="E510" s="2066"/>
      <c r="F510" s="2066"/>
      <c r="G510" s="2066"/>
      <c r="H510" s="2066"/>
      <c r="I510" s="1989"/>
      <c r="J510" s="1984"/>
      <c r="K510" s="1921"/>
      <c r="O510" s="2150"/>
      <c r="P510" s="2150"/>
      <c r="Q510" s="2150"/>
      <c r="R510" s="2150"/>
      <c r="S510" s="2150"/>
      <c r="T510" s="2150"/>
      <c r="U510" s="2150"/>
      <c r="V510" s="2150"/>
      <c r="W510" s="2150"/>
      <c r="X510" s="2150"/>
      <c r="Y510" s="2150"/>
      <c r="Z510" s="2150"/>
      <c r="AA510" s="2150"/>
      <c r="AB510" s="2150"/>
      <c r="AC510" s="2150"/>
      <c r="AD510" s="2150"/>
      <c r="AE510" s="2150"/>
      <c r="AF510" s="2150"/>
      <c r="AG510" s="2150"/>
      <c r="AH510" s="2150"/>
    </row>
    <row r="511" spans="1:34" ht="15.75" thickBot="1">
      <c r="A511" s="1092"/>
      <c r="B511" s="1981" t="s">
        <v>613</v>
      </c>
      <c r="D511" s="2066" t="s">
        <v>598</v>
      </c>
      <c r="E511" s="2066"/>
      <c r="F511" s="2066"/>
      <c r="G511" s="2066"/>
      <c r="H511" s="2066"/>
      <c r="I511" s="2066"/>
      <c r="J511" s="1984"/>
      <c r="K511" s="1921"/>
      <c r="O511" s="2150"/>
      <c r="P511" s="2150"/>
      <c r="Q511" s="2150"/>
      <c r="R511" s="2150"/>
      <c r="S511" s="2150"/>
      <c r="T511" s="2150"/>
      <c r="U511" s="2150"/>
      <c r="V511" s="2150"/>
      <c r="W511" s="2150"/>
      <c r="X511" s="2150"/>
      <c r="Y511" s="2150"/>
      <c r="Z511" s="2150"/>
      <c r="AA511" s="2150"/>
      <c r="AB511" s="2150"/>
      <c r="AC511" s="2150"/>
      <c r="AD511" s="2150"/>
      <c r="AE511" s="2150"/>
      <c r="AF511" s="2150"/>
      <c r="AG511" s="2150"/>
      <c r="AH511" s="2150"/>
    </row>
    <row r="512" spans="1:34" ht="15.75" thickBot="1">
      <c r="A512" s="1092"/>
      <c r="B512" s="1920"/>
      <c r="C512" s="2005" t="s">
        <v>10</v>
      </c>
      <c r="D512" s="2006" t="s">
        <v>11</v>
      </c>
      <c r="E512" s="2006" t="s">
        <v>12</v>
      </c>
      <c r="F512" s="2006" t="s">
        <v>13</v>
      </c>
      <c r="G512" s="2006" t="s">
        <v>14</v>
      </c>
      <c r="H512" s="2140" t="s">
        <v>1835</v>
      </c>
      <c r="I512" s="2008">
        <f>$G$17</f>
        <v>0.27</v>
      </c>
      <c r="J512" s="2007" t="s">
        <v>1834</v>
      </c>
      <c r="K512" s="1921"/>
      <c r="O512" s="2150"/>
      <c r="P512" s="2150"/>
      <c r="Q512" s="2150"/>
      <c r="R512" s="2150"/>
      <c r="S512" s="2150"/>
      <c r="T512" s="2150"/>
      <c r="U512" s="2150"/>
      <c r="V512" s="2150"/>
      <c r="W512" s="2150"/>
      <c r="X512" s="2150"/>
      <c r="Y512" s="2150"/>
      <c r="Z512" s="2150"/>
      <c r="AA512" s="2150"/>
      <c r="AB512" s="2150"/>
      <c r="AC512" s="2150"/>
      <c r="AD512" s="2150"/>
      <c r="AE512" s="2150"/>
      <c r="AF512" s="2150"/>
      <c r="AG512" s="2150"/>
      <c r="AH512" s="2150"/>
    </row>
    <row r="513" spans="1:34">
      <c r="A513" s="1092"/>
      <c r="B513" s="1985"/>
      <c r="C513" s="2002" t="s">
        <v>1846</v>
      </c>
      <c r="D513" s="2003" t="s">
        <v>77</v>
      </c>
      <c r="E513" s="2004">
        <v>330</v>
      </c>
      <c r="F513" s="2003">
        <v>6</v>
      </c>
      <c r="G513" s="2004">
        <v>48</v>
      </c>
      <c r="H513" s="2154">
        <v>703.63636363636363</v>
      </c>
      <c r="I513" s="2115">
        <f>H513-H513*$I$512</f>
        <v>513.65454545454543</v>
      </c>
      <c r="J513" s="2103">
        <f>H513*0.8</f>
        <v>562.90909090909088</v>
      </c>
      <c r="K513" s="1921"/>
      <c r="O513" s="2150"/>
      <c r="P513" s="2150"/>
      <c r="Q513" s="2150"/>
      <c r="R513" s="2150"/>
      <c r="S513" s="2150"/>
      <c r="T513" s="2150"/>
      <c r="U513" s="2150"/>
      <c r="V513" s="2150"/>
      <c r="W513" s="2150"/>
      <c r="X513" s="2150"/>
      <c r="Y513" s="2150"/>
      <c r="Z513" s="2150"/>
      <c r="AA513" s="2150"/>
      <c r="AB513" s="2150"/>
      <c r="AC513" s="2150"/>
      <c r="AD513" s="2150"/>
      <c r="AE513" s="2150"/>
      <c r="AF513" s="2150"/>
      <c r="AG513" s="2150"/>
      <c r="AH513" s="2150"/>
    </row>
    <row r="514" spans="1:34">
      <c r="A514" s="1092"/>
      <c r="B514" s="1987"/>
      <c r="C514" s="1999" t="s">
        <v>1847</v>
      </c>
      <c r="D514" s="2000" t="s">
        <v>78</v>
      </c>
      <c r="E514" s="2001">
        <v>465</v>
      </c>
      <c r="F514" s="2000">
        <v>4</v>
      </c>
      <c r="G514" s="2001">
        <v>32</v>
      </c>
      <c r="H514" s="2155">
        <v>981.81818181818176</v>
      </c>
      <c r="I514" s="2115">
        <f t="shared" ref="I514:I516" si="49">H514-H514*$I$512</f>
        <v>716.72727272727275</v>
      </c>
      <c r="J514" s="2104">
        <f>H514*0.8</f>
        <v>785.4545454545455</v>
      </c>
      <c r="K514" s="1921"/>
    </row>
    <row r="515" spans="1:34">
      <c r="A515" s="1092"/>
      <c r="B515" s="1985"/>
      <c r="C515" s="2002" t="s">
        <v>1848</v>
      </c>
      <c r="D515" s="2003" t="s">
        <v>80</v>
      </c>
      <c r="E515" s="2004">
        <v>425</v>
      </c>
      <c r="F515" s="2003">
        <v>6</v>
      </c>
      <c r="G515" s="2004">
        <v>48</v>
      </c>
      <c r="H515" s="2154">
        <v>981.81818181818176</v>
      </c>
      <c r="I515" s="2115">
        <f t="shared" si="49"/>
        <v>716.72727272727275</v>
      </c>
      <c r="J515" s="2103">
        <f>H515*0.8</f>
        <v>785.4545454545455</v>
      </c>
      <c r="K515" s="1921"/>
    </row>
    <row r="516" spans="1:34">
      <c r="A516" s="1092"/>
      <c r="B516" s="1985"/>
      <c r="C516" s="1999" t="s">
        <v>1849</v>
      </c>
      <c r="D516" s="2000" t="s">
        <v>81</v>
      </c>
      <c r="E516" s="2001">
        <v>610</v>
      </c>
      <c r="F516" s="2000">
        <v>4</v>
      </c>
      <c r="G516" s="2001">
        <v>32</v>
      </c>
      <c r="H516" s="2155">
        <v>1309.090909090909</v>
      </c>
      <c r="I516" s="2115">
        <f t="shared" si="49"/>
        <v>955.63636363636351</v>
      </c>
      <c r="J516" s="2104">
        <f>H516*0.8</f>
        <v>1047.2727272727273</v>
      </c>
      <c r="K516" s="1921"/>
    </row>
    <row r="517" spans="1:34">
      <c r="A517" s="1092"/>
      <c r="B517" s="1985"/>
      <c r="C517" s="1983"/>
      <c r="D517" s="814"/>
      <c r="E517" s="814"/>
      <c r="F517" s="814"/>
      <c r="G517" s="814"/>
      <c r="H517" s="2165"/>
      <c r="I517" s="1989"/>
      <c r="J517" s="1984"/>
      <c r="K517" s="1921"/>
    </row>
    <row r="518" spans="1:34" ht="15.75" thickBot="1">
      <c r="A518" s="1092"/>
      <c r="B518" s="1981" t="s">
        <v>784</v>
      </c>
      <c r="D518" s="2058" t="s">
        <v>83</v>
      </c>
      <c r="E518" s="2058"/>
      <c r="F518" s="2058"/>
      <c r="G518" s="2058"/>
      <c r="H518" s="2058"/>
      <c r="I518" s="2058"/>
      <c r="J518" s="1984"/>
      <c r="K518" s="1921"/>
    </row>
    <row r="519" spans="1:34" ht="15.75" thickBot="1">
      <c r="A519" s="1092"/>
      <c r="B519" s="1985"/>
      <c r="C519" s="2005" t="s">
        <v>10</v>
      </c>
      <c r="D519" s="2006" t="s">
        <v>11</v>
      </c>
      <c r="E519" s="2006" t="s">
        <v>12</v>
      </c>
      <c r="F519" s="2006" t="s">
        <v>13</v>
      </c>
      <c r="G519" s="2006" t="s">
        <v>14</v>
      </c>
      <c r="H519" s="2140" t="s">
        <v>1835</v>
      </c>
      <c r="I519" s="2008">
        <f>$G$17</f>
        <v>0.27</v>
      </c>
      <c r="J519" s="2007" t="s">
        <v>1834</v>
      </c>
      <c r="K519" s="1921"/>
    </row>
    <row r="520" spans="1:34">
      <c r="A520" s="1092"/>
      <c r="B520" s="1985"/>
      <c r="C520" s="2002" t="s">
        <v>1850</v>
      </c>
      <c r="D520" s="2003" t="s">
        <v>297</v>
      </c>
      <c r="E520" s="2004">
        <v>45</v>
      </c>
      <c r="F520" s="2003">
        <v>50</v>
      </c>
      <c r="G520" s="2004">
        <v>300</v>
      </c>
      <c r="H520" s="2154">
        <v>130.91</v>
      </c>
      <c r="I520" s="2115">
        <f>H520-H520*I519</f>
        <v>95.564300000000003</v>
      </c>
      <c r="J520" s="2103">
        <f>H520*0.8</f>
        <v>104.72800000000001</v>
      </c>
      <c r="K520" s="1921"/>
    </row>
    <row r="521" spans="1:34">
      <c r="A521" s="1092"/>
      <c r="B521" s="1985"/>
      <c r="C521" s="1996"/>
      <c r="D521" s="814"/>
      <c r="E521" s="814"/>
      <c r="F521" s="814"/>
      <c r="G521" s="814"/>
      <c r="H521" s="2165"/>
      <c r="I521" s="1989"/>
      <c r="J521" s="1984"/>
      <c r="K521" s="1921"/>
    </row>
    <row r="522" spans="1:34" ht="15.75" thickBot="1">
      <c r="A522" s="1092"/>
      <c r="B522" s="1981" t="s">
        <v>923</v>
      </c>
      <c r="D522" s="2058" t="s">
        <v>917</v>
      </c>
      <c r="E522" s="2058"/>
      <c r="F522" s="2058"/>
      <c r="G522" s="2058"/>
      <c r="H522" s="2058"/>
      <c r="I522" s="1989"/>
      <c r="J522" s="1986"/>
      <c r="K522" s="1921"/>
    </row>
    <row r="523" spans="1:34" ht="15.75" thickBot="1">
      <c r="A523" s="1092"/>
      <c r="B523" s="1985"/>
      <c r="C523" s="2005" t="s">
        <v>10</v>
      </c>
      <c r="D523" s="2006" t="s">
        <v>11</v>
      </c>
      <c r="E523" s="2006" t="s">
        <v>12</v>
      </c>
      <c r="F523" s="2006" t="s">
        <v>13</v>
      </c>
      <c r="G523" s="2006" t="s">
        <v>14</v>
      </c>
      <c r="H523" s="2140" t="s">
        <v>1835</v>
      </c>
      <c r="I523" s="2008">
        <f>$G$17</f>
        <v>0.27</v>
      </c>
      <c r="J523" s="2007" t="s">
        <v>1834</v>
      </c>
      <c r="K523" s="1921"/>
    </row>
    <row r="524" spans="1:34">
      <c r="A524" s="1092"/>
      <c r="B524" s="1985"/>
      <c r="C524" s="2002" t="s">
        <v>1851</v>
      </c>
      <c r="D524" s="2003" t="s">
        <v>920</v>
      </c>
      <c r="E524" s="2004">
        <v>74</v>
      </c>
      <c r="F524" s="2003">
        <v>50</v>
      </c>
      <c r="G524" s="2004">
        <v>300</v>
      </c>
      <c r="H524" s="2154">
        <v>162</v>
      </c>
      <c r="I524" s="2115">
        <f>H524-H524*I523</f>
        <v>118.25999999999999</v>
      </c>
      <c r="J524" s="2103">
        <f>H524*0.8</f>
        <v>129.6</v>
      </c>
      <c r="K524" s="1921"/>
    </row>
    <row r="525" spans="1:34">
      <c r="A525" s="1092"/>
      <c r="B525" s="1985"/>
      <c r="C525" s="1999" t="s">
        <v>1874</v>
      </c>
      <c r="D525" s="2000" t="s">
        <v>921</v>
      </c>
      <c r="E525" s="2001">
        <v>75</v>
      </c>
      <c r="F525" s="2000">
        <v>10</v>
      </c>
      <c r="G525" s="2001">
        <v>350</v>
      </c>
      <c r="H525" s="2155">
        <v>162</v>
      </c>
      <c r="I525" s="2115">
        <f>H525-H525*I523</f>
        <v>118.25999999999999</v>
      </c>
      <c r="J525" s="2104">
        <f>H525*0.8</f>
        <v>129.6</v>
      </c>
      <c r="K525" s="1921"/>
    </row>
    <row r="526" spans="1:34">
      <c r="A526" s="1092"/>
      <c r="B526" s="1985"/>
      <c r="C526" s="1983"/>
      <c r="D526" s="1983"/>
      <c r="E526" s="1983"/>
      <c r="F526" s="1983"/>
      <c r="G526" s="1983"/>
      <c r="H526" s="2161"/>
      <c r="I526" s="1989"/>
      <c r="J526" s="1984"/>
      <c r="K526" s="1921"/>
    </row>
    <row r="527" spans="1:34" ht="15.75" thickBot="1">
      <c r="A527" s="1092"/>
      <c r="B527" s="1981" t="s">
        <v>924</v>
      </c>
      <c r="D527" s="2058" t="s">
        <v>918</v>
      </c>
      <c r="E527" s="2058"/>
      <c r="F527" s="2058"/>
      <c r="G527" s="2058"/>
      <c r="H527" s="2058"/>
      <c r="I527" s="2058"/>
      <c r="J527" s="1986"/>
      <c r="K527" s="1921"/>
    </row>
    <row r="528" spans="1:34" ht="15.75" thickBot="1">
      <c r="A528" s="1092"/>
      <c r="B528" s="1985"/>
      <c r="C528" s="2005" t="s">
        <v>10</v>
      </c>
      <c r="D528" s="2006" t="s">
        <v>11</v>
      </c>
      <c r="E528" s="2006" t="s">
        <v>12</v>
      </c>
      <c r="F528" s="2006" t="s">
        <v>13</v>
      </c>
      <c r="G528" s="2006" t="s">
        <v>14</v>
      </c>
      <c r="H528" s="2140" t="s">
        <v>1835</v>
      </c>
      <c r="I528" s="2008">
        <f>$G$17</f>
        <v>0.27</v>
      </c>
      <c r="J528" s="2007" t="s">
        <v>1834</v>
      </c>
      <c r="K528" s="1921"/>
    </row>
    <row r="529" spans="1:11">
      <c r="A529" s="1092"/>
      <c r="B529" s="1985"/>
      <c r="C529" s="2002" t="s">
        <v>1852</v>
      </c>
      <c r="D529" s="2003" t="s">
        <v>920</v>
      </c>
      <c r="E529" s="2004">
        <v>79</v>
      </c>
      <c r="F529" s="2003">
        <v>50</v>
      </c>
      <c r="G529" s="2004">
        <v>300</v>
      </c>
      <c r="H529" s="2154">
        <v>178.36</v>
      </c>
      <c r="I529" s="2115">
        <f>H529-H529*I528</f>
        <v>130.2028</v>
      </c>
      <c r="J529" s="2103">
        <f>H529*0.8</f>
        <v>142.68800000000002</v>
      </c>
      <c r="K529" s="1921"/>
    </row>
    <row r="530" spans="1:11">
      <c r="A530" s="1092"/>
      <c r="B530" s="1985"/>
      <c r="C530" s="1999" t="s">
        <v>1875</v>
      </c>
      <c r="D530" s="2000" t="s">
        <v>921</v>
      </c>
      <c r="E530" s="2001">
        <v>80</v>
      </c>
      <c r="F530" s="2000">
        <v>10</v>
      </c>
      <c r="G530" s="2001">
        <v>350</v>
      </c>
      <c r="H530" s="2155">
        <v>178.36</v>
      </c>
      <c r="I530" s="2115">
        <f>H530-H530*I528</f>
        <v>130.2028</v>
      </c>
      <c r="J530" s="2104">
        <f>H530*0.8</f>
        <v>142.68800000000002</v>
      </c>
      <c r="K530" s="1921"/>
    </row>
    <row r="531" spans="1:11">
      <c r="A531" s="1092"/>
      <c r="B531" s="1985"/>
      <c r="C531" s="1996"/>
      <c r="D531" s="814"/>
      <c r="E531" s="814"/>
      <c r="F531" s="814"/>
      <c r="G531" s="814"/>
      <c r="H531" s="2165"/>
      <c r="I531" s="1989"/>
      <c r="J531" s="1984"/>
      <c r="K531" s="1921"/>
    </row>
    <row r="532" spans="1:11" ht="15.75" thickBot="1">
      <c r="A532" s="1092"/>
      <c r="B532" s="1981" t="s">
        <v>930</v>
      </c>
      <c r="D532" s="2058" t="s">
        <v>933</v>
      </c>
      <c r="E532" s="2058"/>
      <c r="F532" s="2058"/>
      <c r="G532" s="2058"/>
      <c r="H532" s="2058"/>
      <c r="I532" s="2058"/>
      <c r="J532" s="1986"/>
      <c r="K532" s="1921"/>
    </row>
    <row r="533" spans="1:11" ht="15.75" thickBot="1">
      <c r="A533" s="1092"/>
      <c r="B533" s="1985"/>
      <c r="C533" s="2005" t="s">
        <v>10</v>
      </c>
      <c r="D533" s="2006" t="s">
        <v>11</v>
      </c>
      <c r="E533" s="2006" t="s">
        <v>12</v>
      </c>
      <c r="F533" s="2006" t="s">
        <v>13</v>
      </c>
      <c r="G533" s="2006" t="s">
        <v>14</v>
      </c>
      <c r="H533" s="2140" t="s">
        <v>1835</v>
      </c>
      <c r="I533" s="2008">
        <f>$G$17</f>
        <v>0.27</v>
      </c>
      <c r="J533" s="2007" t="s">
        <v>1834</v>
      </c>
      <c r="K533" s="1921"/>
    </row>
    <row r="534" spans="1:11">
      <c r="A534" s="1092"/>
      <c r="B534" s="1985"/>
      <c r="C534" s="2002" t="s">
        <v>1876</v>
      </c>
      <c r="D534" s="2003" t="s">
        <v>190</v>
      </c>
      <c r="E534" s="2004">
        <v>135</v>
      </c>
      <c r="F534" s="2003">
        <v>24</v>
      </c>
      <c r="G534" s="2004">
        <v>144</v>
      </c>
      <c r="H534" s="2154">
        <v>454.55</v>
      </c>
      <c r="I534" s="2115">
        <f>H534-H534*I533</f>
        <v>331.82150000000001</v>
      </c>
      <c r="J534" s="2103">
        <f>H534*0.8</f>
        <v>363.64000000000004</v>
      </c>
      <c r="K534" s="1921"/>
    </row>
    <row r="535" spans="1:11">
      <c r="A535" s="1092"/>
      <c r="B535" s="1985"/>
      <c r="C535" s="1996"/>
      <c r="D535" s="2063"/>
      <c r="E535" s="814"/>
      <c r="F535" s="814"/>
      <c r="G535" s="415"/>
      <c r="H535" s="2165"/>
      <c r="I535" s="1947"/>
      <c r="J535" s="1946"/>
      <c r="K535" s="1921"/>
    </row>
    <row r="536" spans="1:11" ht="15.75" thickBot="1">
      <c r="A536" s="1092"/>
      <c r="B536" s="1981" t="s">
        <v>952</v>
      </c>
      <c r="C536" s="2064"/>
      <c r="D536" s="2058" t="s">
        <v>948</v>
      </c>
      <c r="E536" s="2058"/>
      <c r="F536" s="2058"/>
      <c r="G536" s="2058"/>
      <c r="H536" s="2058"/>
      <c r="I536" s="1947"/>
      <c r="J536" s="1946"/>
      <c r="K536" s="1921"/>
    </row>
    <row r="537" spans="1:11" ht="15.75" thickBot="1">
      <c r="A537" s="1092"/>
      <c r="B537" s="1920"/>
      <c r="C537" s="2005" t="s">
        <v>10</v>
      </c>
      <c r="D537" s="2006" t="s">
        <v>11</v>
      </c>
      <c r="E537" s="2006" t="s">
        <v>12</v>
      </c>
      <c r="F537" s="2006" t="s">
        <v>13</v>
      </c>
      <c r="G537" s="2006" t="s">
        <v>14</v>
      </c>
      <c r="H537" s="2140" t="s">
        <v>1835</v>
      </c>
      <c r="I537" s="2008">
        <f>$G$17</f>
        <v>0.27</v>
      </c>
      <c r="J537" s="2007" t="s">
        <v>1834</v>
      </c>
      <c r="K537" s="1921"/>
    </row>
    <row r="538" spans="1:11" ht="15.75" customHeight="1">
      <c r="A538" s="1092"/>
      <c r="B538" s="1985"/>
      <c r="C538" s="2002" t="s">
        <v>1890</v>
      </c>
      <c r="D538" s="2003" t="s">
        <v>192</v>
      </c>
      <c r="E538" s="2004">
        <v>32</v>
      </c>
      <c r="F538" s="2003">
        <v>10</v>
      </c>
      <c r="G538" s="2004">
        <v>550</v>
      </c>
      <c r="H538" s="2154">
        <v>107.27</v>
      </c>
      <c r="I538" s="2115">
        <f>H538-H538*I537</f>
        <v>78.307099999999991</v>
      </c>
      <c r="J538" s="2103">
        <f>H538*0.8</f>
        <v>85.816000000000003</v>
      </c>
      <c r="K538" s="1921"/>
    </row>
    <row r="539" spans="1:11">
      <c r="A539" s="1092"/>
      <c r="B539" s="1985"/>
      <c r="C539" s="1999" t="s">
        <v>1891</v>
      </c>
      <c r="D539" s="2000" t="s">
        <v>194</v>
      </c>
      <c r="E539" s="2001">
        <v>52</v>
      </c>
      <c r="F539" s="2000">
        <v>10</v>
      </c>
      <c r="G539" s="2001">
        <v>400</v>
      </c>
      <c r="H539" s="2155">
        <v>161.82</v>
      </c>
      <c r="I539" s="2142">
        <f>H539-H539*I537</f>
        <v>118.12859999999999</v>
      </c>
      <c r="J539" s="2141">
        <f>H539*0.8</f>
        <v>129.45599999999999</v>
      </c>
      <c r="K539" s="1921"/>
    </row>
    <row r="540" spans="1:11" ht="15.75" customHeight="1">
      <c r="A540" s="1092"/>
      <c r="B540" s="1985"/>
      <c r="C540" s="2002" t="s">
        <v>1516</v>
      </c>
      <c r="D540" s="2003" t="s">
        <v>956</v>
      </c>
      <c r="E540" s="2004">
        <v>92</v>
      </c>
      <c r="F540" s="2003">
        <v>10</v>
      </c>
      <c r="G540" s="2004">
        <v>200</v>
      </c>
      <c r="H540" s="2166">
        <v>57</v>
      </c>
      <c r="I540" s="2188" t="s">
        <v>1825</v>
      </c>
      <c r="J540" s="2188"/>
      <c r="K540" s="1921"/>
    </row>
    <row r="541" spans="1:11">
      <c r="A541" s="1092"/>
      <c r="B541" s="1985"/>
      <c r="C541" s="1996"/>
      <c r="D541" s="2063"/>
      <c r="E541" s="814"/>
      <c r="F541" s="814"/>
      <c r="G541" s="415"/>
      <c r="H541" s="2165"/>
      <c r="I541" s="1947"/>
      <c r="J541" s="1946"/>
      <c r="K541" s="1921"/>
    </row>
    <row r="542" spans="1:11" ht="15.75" thickBot="1">
      <c r="A542" s="1092"/>
      <c r="B542" s="1981" t="s">
        <v>953</v>
      </c>
      <c r="C542" s="2064"/>
      <c r="D542" s="2058" t="s">
        <v>958</v>
      </c>
      <c r="E542" s="2058"/>
      <c r="F542" s="2058"/>
      <c r="G542" s="2058"/>
      <c r="H542" s="2058"/>
      <c r="I542" s="1947"/>
      <c r="J542" s="1946"/>
      <c r="K542" s="1921"/>
    </row>
    <row r="543" spans="1:11" ht="15.75" thickBot="1">
      <c r="A543" s="1092"/>
      <c r="B543" s="1985"/>
      <c r="C543" s="2005" t="s">
        <v>10</v>
      </c>
      <c r="D543" s="2006" t="s">
        <v>11</v>
      </c>
      <c r="E543" s="2006" t="s">
        <v>12</v>
      </c>
      <c r="F543" s="2006" t="s">
        <v>13</v>
      </c>
      <c r="G543" s="2006" t="s">
        <v>14</v>
      </c>
      <c r="H543" s="2140" t="s">
        <v>1835</v>
      </c>
      <c r="I543" s="2008">
        <f>$G$17</f>
        <v>0.27</v>
      </c>
      <c r="J543" s="2007" t="s">
        <v>1834</v>
      </c>
      <c r="K543" s="1921"/>
    </row>
    <row r="544" spans="1:11">
      <c r="A544" s="1092"/>
      <c r="B544" s="1985"/>
      <c r="C544" s="2002" t="s">
        <v>1892</v>
      </c>
      <c r="D544" s="2003" t="s">
        <v>192</v>
      </c>
      <c r="E544" s="2004">
        <v>90</v>
      </c>
      <c r="F544" s="2003">
        <v>10</v>
      </c>
      <c r="G544" s="2004">
        <v>350</v>
      </c>
      <c r="H544" s="2154">
        <v>199.99999999999997</v>
      </c>
      <c r="I544" s="2115">
        <f>H544-H544*I543</f>
        <v>145.99999999999997</v>
      </c>
      <c r="J544" s="2103">
        <f>H544*0.8</f>
        <v>160</v>
      </c>
      <c r="K544" s="1921"/>
    </row>
    <row r="545" spans="1:12" ht="13.5" customHeight="1">
      <c r="A545" s="1092"/>
      <c r="B545" s="1985"/>
      <c r="C545" s="1999" t="s">
        <v>1893</v>
      </c>
      <c r="D545" s="2000" t="s">
        <v>194</v>
      </c>
      <c r="E545" s="2001">
        <v>110</v>
      </c>
      <c r="F545" s="2000">
        <v>10</v>
      </c>
      <c r="G545" s="2001">
        <v>150</v>
      </c>
      <c r="H545" s="2155">
        <v>343.63636363636363</v>
      </c>
      <c r="I545" s="2142">
        <f>H545-H545*I543</f>
        <v>250.85454545454544</v>
      </c>
      <c r="J545" s="2141">
        <f>H545*0.8</f>
        <v>274.90909090909093</v>
      </c>
      <c r="K545" s="1921"/>
    </row>
    <row r="546" spans="1:12" ht="14.25" customHeight="1">
      <c r="A546" s="1092"/>
      <c r="B546" s="1985"/>
      <c r="C546" s="2002" t="s">
        <v>1519</v>
      </c>
      <c r="D546" s="2003" t="s">
        <v>956</v>
      </c>
      <c r="E546" s="2004">
        <v>170</v>
      </c>
      <c r="F546" s="2003">
        <v>10</v>
      </c>
      <c r="G546" s="2004">
        <v>120</v>
      </c>
      <c r="H546" s="2166">
        <v>134</v>
      </c>
      <c r="I546" s="2211" t="s">
        <v>1825</v>
      </c>
      <c r="J546" s="2211"/>
      <c r="K546" s="1921"/>
    </row>
    <row r="547" spans="1:12">
      <c r="A547" s="1092"/>
      <c r="B547" s="2205"/>
      <c r="C547" s="2205"/>
      <c r="D547" s="2205"/>
      <c r="E547" s="2205"/>
      <c r="F547" s="2205"/>
      <c r="G547" s="2205"/>
      <c r="H547" s="2205"/>
      <c r="I547" s="1947"/>
      <c r="J547" s="1946"/>
      <c r="K547" s="1921"/>
    </row>
    <row r="548" spans="1:12">
      <c r="A548" s="1092"/>
      <c r="B548" s="1985"/>
      <c r="C548" s="1996"/>
      <c r="D548" s="2063"/>
      <c r="E548" s="814"/>
      <c r="F548" s="814"/>
      <c r="G548" s="415"/>
      <c r="H548" s="1998"/>
      <c r="I548" s="1947"/>
      <c r="J548" s="1946"/>
      <c r="K548" s="1921"/>
    </row>
    <row r="549" spans="1:12" ht="18.75">
      <c r="A549" s="1092"/>
      <c r="B549" s="1994" t="s">
        <v>2019</v>
      </c>
      <c r="C549" s="1973"/>
      <c r="D549" s="1973"/>
      <c r="E549" s="1973"/>
      <c r="F549" s="2065"/>
      <c r="G549" s="1945"/>
      <c r="H549" s="2051"/>
      <c r="I549" s="1947"/>
      <c r="J549" s="1995" t="s">
        <v>1780</v>
      </c>
      <c r="K549" s="1921"/>
    </row>
    <row r="550" spans="1:12" s="1340" customFormat="1">
      <c r="A550" s="1945"/>
      <c r="B550" s="1974" t="s">
        <v>1</v>
      </c>
      <c r="C550" s="1945"/>
      <c r="D550" s="1945"/>
      <c r="E550" s="1945"/>
      <c r="F550" s="1976"/>
      <c r="G550" s="1964"/>
      <c r="H550" s="1977"/>
      <c r="I550" s="1966"/>
      <c r="J550" s="1965" t="s">
        <v>1649</v>
      </c>
      <c r="K550" s="1921"/>
      <c r="L550" s="1920"/>
    </row>
    <row r="551" spans="1:12" s="1340" customFormat="1">
      <c r="A551" s="1945"/>
      <c r="B551" s="2108" t="s">
        <v>1870</v>
      </c>
      <c r="C551" s="2108"/>
      <c r="D551" s="2108"/>
      <c r="E551" s="2108"/>
      <c r="F551" s="2108"/>
      <c r="G551" s="2108"/>
      <c r="H551" s="2108"/>
      <c r="I551" s="2108"/>
      <c r="J551" s="2108"/>
      <c r="K551" s="1921"/>
      <c r="L551" s="1920"/>
    </row>
    <row r="552" spans="1:12" s="1340" customFormat="1" ht="15" customHeight="1">
      <c r="A552" s="1945"/>
      <c r="B552" s="2109" t="s">
        <v>959</v>
      </c>
      <c r="C552" s="2110"/>
      <c r="D552" s="2110"/>
      <c r="E552" s="2110"/>
      <c r="F552" s="2110"/>
      <c r="G552" s="2110"/>
      <c r="H552" s="2110"/>
      <c r="I552" s="2110"/>
      <c r="J552" s="2110"/>
      <c r="K552" s="1921"/>
      <c r="L552" s="1920"/>
    </row>
    <row r="553" spans="1:12" s="1340" customFormat="1" ht="13.5" customHeight="1">
      <c r="A553" s="1945"/>
      <c r="B553" s="1974" t="s">
        <v>2</v>
      </c>
      <c r="C553" s="2053"/>
      <c r="D553" s="1945"/>
      <c r="E553" s="1945"/>
      <c r="F553" s="1976"/>
      <c r="G553" s="1945"/>
      <c r="H553" s="1965"/>
      <c r="I553" s="1966"/>
      <c r="J553" s="1965" t="s">
        <v>1649</v>
      </c>
      <c r="K553" s="1921"/>
      <c r="L553" s="1920"/>
    </row>
    <row r="554" spans="1:12" s="1340" customFormat="1" ht="13.5" customHeight="1">
      <c r="A554" s="1945"/>
      <c r="B554" s="2029" t="s">
        <v>1855</v>
      </c>
      <c r="C554" s="1975"/>
      <c r="D554" s="1945"/>
      <c r="E554" s="1945"/>
      <c r="F554" s="1976"/>
      <c r="G554" s="1945"/>
      <c r="H554" s="1965"/>
      <c r="I554" s="1966"/>
      <c r="J554" s="1965" t="s">
        <v>1649</v>
      </c>
      <c r="K554" s="1921"/>
      <c r="L554" s="1920"/>
    </row>
    <row r="555" spans="1:12" s="1340" customFormat="1" ht="13.5" customHeight="1">
      <c r="A555" s="1945"/>
      <c r="B555" s="2029" t="s">
        <v>87</v>
      </c>
      <c r="C555" s="1945"/>
      <c r="D555" s="1945"/>
      <c r="E555" s="1945"/>
      <c r="F555" s="1976"/>
      <c r="G555" s="1945"/>
      <c r="H555" s="1965"/>
      <c r="I555" s="1966"/>
      <c r="J555" s="1965" t="s">
        <v>1649</v>
      </c>
      <c r="K555" s="1921"/>
      <c r="L555" s="1920"/>
    </row>
    <row r="556" spans="1:12" s="1340" customFormat="1" ht="13.5" customHeight="1">
      <c r="A556" s="1945"/>
      <c r="B556" s="1974" t="s">
        <v>5</v>
      </c>
      <c r="C556" s="1945"/>
      <c r="D556" s="1945"/>
      <c r="E556" s="1945"/>
      <c r="F556" s="1976"/>
      <c r="G556" s="1945"/>
      <c r="H556" s="1965"/>
      <c r="I556" s="1966"/>
      <c r="J556" s="1965" t="s">
        <v>1649</v>
      </c>
      <c r="K556" s="1921"/>
      <c r="L556" s="1920"/>
    </row>
    <row r="557" spans="1:12" s="1340" customFormat="1" ht="13.5" customHeight="1">
      <c r="A557" s="1945"/>
      <c r="B557" s="1978" t="s">
        <v>88</v>
      </c>
      <c r="C557" s="1975"/>
      <c r="D557" s="1945"/>
      <c r="E557" s="1945"/>
      <c r="F557" s="1976"/>
      <c r="G557" s="1945"/>
      <c r="H557" s="1965"/>
      <c r="I557" s="1966"/>
      <c r="J557" s="1965" t="s">
        <v>1649</v>
      </c>
      <c r="K557" s="1921"/>
      <c r="L557" s="1920"/>
    </row>
    <row r="558" spans="1:12" s="1340" customFormat="1" ht="13.5" customHeight="1">
      <c r="A558" s="1945"/>
      <c r="B558" s="1978" t="s">
        <v>1800</v>
      </c>
      <c r="C558" s="1979"/>
      <c r="D558" s="1945"/>
      <c r="E558" s="1945"/>
      <c r="F558" s="1945"/>
      <c r="G558" s="1945"/>
      <c r="H558" s="1965"/>
      <c r="I558" s="1966"/>
      <c r="J558" s="1965" t="s">
        <v>1649</v>
      </c>
      <c r="K558" s="1921"/>
      <c r="L558" s="1920"/>
    </row>
    <row r="559" spans="1:12" s="1340" customFormat="1">
      <c r="A559" s="1945"/>
      <c r="B559" s="1978"/>
      <c r="C559" s="1979"/>
      <c r="D559" s="1945"/>
      <c r="E559" s="1945"/>
      <c r="F559" s="1945"/>
      <c r="G559" s="1945"/>
      <c r="H559" s="1965"/>
      <c r="I559" s="1966"/>
      <c r="J559" s="1965"/>
      <c r="K559" s="1921"/>
    </row>
    <row r="560" spans="1:12" ht="15.75" thickBot="1">
      <c r="A560" s="1092"/>
      <c r="B560" s="1981" t="s">
        <v>89</v>
      </c>
      <c r="C560" s="2050"/>
      <c r="D560" s="1982" t="s">
        <v>90</v>
      </c>
      <c r="E560" s="1983"/>
      <c r="F560" s="1983"/>
      <c r="G560" s="1983"/>
      <c r="H560" s="1984"/>
      <c r="I560" s="1989"/>
      <c r="J560" s="1984"/>
      <c r="K560" s="1921"/>
    </row>
    <row r="561" spans="1:11" ht="15.75" thickBot="1">
      <c r="A561" s="1092"/>
      <c r="B561" s="1985"/>
      <c r="C561" s="2005" t="s">
        <v>10</v>
      </c>
      <c r="D561" s="2006" t="s">
        <v>11</v>
      </c>
      <c r="E561" s="2006" t="s">
        <v>12</v>
      </c>
      <c r="F561" s="2006" t="s">
        <v>13</v>
      </c>
      <c r="G561" s="2006" t="s">
        <v>14</v>
      </c>
      <c r="H561" s="2007" t="s">
        <v>1835</v>
      </c>
      <c r="I561" s="2008">
        <f>$G$17</f>
        <v>0.27</v>
      </c>
      <c r="J561" s="2007" t="s">
        <v>1834</v>
      </c>
      <c r="K561" s="1921"/>
    </row>
    <row r="562" spans="1:11">
      <c r="A562" s="1092"/>
      <c r="B562" s="1987"/>
      <c r="C562" s="2002" t="s">
        <v>1750</v>
      </c>
      <c r="D562" s="2003" t="s">
        <v>190</v>
      </c>
      <c r="E562" s="2004">
        <v>177</v>
      </c>
      <c r="F562" s="2003">
        <v>10</v>
      </c>
      <c r="G562" s="2004">
        <v>100</v>
      </c>
      <c r="H562" s="2154">
        <v>400</v>
      </c>
      <c r="I562" s="2115">
        <f>H562-H562*$I$586</f>
        <v>292</v>
      </c>
      <c r="J562" s="2103">
        <f>H562*0.8</f>
        <v>320</v>
      </c>
      <c r="K562" s="1921"/>
    </row>
    <row r="563" spans="1:11" ht="15.75" customHeight="1">
      <c r="A563" s="1092"/>
      <c r="B563" s="1985"/>
      <c r="C563" s="1999" t="s">
        <v>1751</v>
      </c>
      <c r="D563" s="2000" t="s">
        <v>192</v>
      </c>
      <c r="E563" s="2001">
        <v>242</v>
      </c>
      <c r="F563" s="2000">
        <v>8</v>
      </c>
      <c r="G563" s="2001">
        <v>80</v>
      </c>
      <c r="H563" s="2155">
        <v>490.09</v>
      </c>
      <c r="I563" s="2115">
        <f>H563-H563*$I$586</f>
        <v>357.76569999999998</v>
      </c>
      <c r="J563" s="2104">
        <f>H563*0.8</f>
        <v>392.072</v>
      </c>
      <c r="K563" s="1921"/>
    </row>
    <row r="564" spans="1:11" ht="15.75" thickBot="1">
      <c r="A564" s="1092"/>
      <c r="B564" s="1981" t="s">
        <v>91</v>
      </c>
      <c r="C564" s="1983"/>
      <c r="D564" s="1982" t="s">
        <v>92</v>
      </c>
      <c r="E564" s="1983"/>
      <c r="F564" s="1983"/>
      <c r="G564" s="1983"/>
      <c r="H564" s="2161"/>
      <c r="I564" s="1989"/>
      <c r="J564" s="1984"/>
      <c r="K564" s="1921"/>
    </row>
    <row r="565" spans="1:11" ht="15.75" thickBot="1">
      <c r="A565" s="1092"/>
      <c r="B565" s="1985"/>
      <c r="C565" s="2005" t="s">
        <v>10</v>
      </c>
      <c r="D565" s="2006" t="s">
        <v>11</v>
      </c>
      <c r="E565" s="2006" t="s">
        <v>12</v>
      </c>
      <c r="F565" s="2006" t="s">
        <v>13</v>
      </c>
      <c r="G565" s="2006" t="s">
        <v>14</v>
      </c>
      <c r="H565" s="2140" t="s">
        <v>1835</v>
      </c>
      <c r="I565" s="2008">
        <f>$G$17</f>
        <v>0.27</v>
      </c>
      <c r="J565" s="2007" t="s">
        <v>1834</v>
      </c>
      <c r="K565" s="1921"/>
    </row>
    <row r="566" spans="1:11">
      <c r="A566" s="1092"/>
      <c r="B566" s="1987"/>
      <c r="C566" s="2002" t="s">
        <v>1752</v>
      </c>
      <c r="D566" s="2003" t="s">
        <v>190</v>
      </c>
      <c r="E566" s="2004">
        <v>190</v>
      </c>
      <c r="F566" s="2003">
        <v>10</v>
      </c>
      <c r="G566" s="2004">
        <v>100</v>
      </c>
      <c r="H566" s="2154">
        <v>436.36363636363632</v>
      </c>
      <c r="I566" s="2115">
        <f>H566-H566*$I$586</f>
        <v>318.5454545454545</v>
      </c>
      <c r="J566" s="2103">
        <f>H566*0.8</f>
        <v>349.09090909090907</v>
      </c>
      <c r="K566" s="1921"/>
    </row>
    <row r="567" spans="1:11">
      <c r="A567" s="1092"/>
      <c r="B567" s="1985"/>
      <c r="C567" s="1999" t="s">
        <v>1753</v>
      </c>
      <c r="D567" s="2000" t="s">
        <v>192</v>
      </c>
      <c r="E567" s="2001">
        <v>261</v>
      </c>
      <c r="F567" s="2000">
        <v>8</v>
      </c>
      <c r="G567" s="2001">
        <v>80</v>
      </c>
      <c r="H567" s="2155">
        <v>545.45454545454538</v>
      </c>
      <c r="I567" s="2115">
        <f>H567-H567*$I$586</f>
        <v>398.18181818181813</v>
      </c>
      <c r="J567" s="2104">
        <f>H567*0.8</f>
        <v>436.36363636363632</v>
      </c>
      <c r="K567" s="1921"/>
    </row>
    <row r="568" spans="1:11" ht="15.75" thickBot="1">
      <c r="A568" s="1092"/>
      <c r="B568" s="1981" t="s">
        <v>966</v>
      </c>
      <c r="C568" s="1092"/>
      <c r="D568" s="2066" t="s">
        <v>1506</v>
      </c>
      <c r="E568" s="2066"/>
      <c r="F568" s="2066"/>
      <c r="G568" s="2066"/>
      <c r="H568" s="2066"/>
      <c r="I568" s="1989"/>
      <c r="J568" s="1986"/>
      <c r="K568" s="1921"/>
    </row>
    <row r="569" spans="1:11" ht="15.75" thickBot="1">
      <c r="A569" s="1092"/>
      <c r="B569" s="1985"/>
      <c r="C569" s="2005" t="s">
        <v>10</v>
      </c>
      <c r="D569" s="2006" t="s">
        <v>11</v>
      </c>
      <c r="E569" s="2006" t="s">
        <v>12</v>
      </c>
      <c r="F569" s="2006" t="s">
        <v>13</v>
      </c>
      <c r="G569" s="2006" t="s">
        <v>14</v>
      </c>
      <c r="H569" s="2140" t="s">
        <v>1835</v>
      </c>
      <c r="I569" s="2008">
        <f>$G$17</f>
        <v>0.27</v>
      </c>
      <c r="J569" s="2007" t="s">
        <v>1834</v>
      </c>
      <c r="K569" s="1921"/>
    </row>
    <row r="570" spans="1:11">
      <c r="A570" s="1092"/>
      <c r="B570" s="1985"/>
      <c r="C570" s="2002" t="s">
        <v>1754</v>
      </c>
      <c r="D570" s="2003" t="s">
        <v>964</v>
      </c>
      <c r="E570" s="2004">
        <v>333</v>
      </c>
      <c r="F570" s="2003">
        <v>2</v>
      </c>
      <c r="G570" s="2004">
        <v>40</v>
      </c>
      <c r="H570" s="2154">
        <v>890.9</v>
      </c>
      <c r="I570" s="2115">
        <f>H570-H570*$I$586</f>
        <v>650.35699999999997</v>
      </c>
      <c r="J570" s="2103">
        <f>H570*0.8</f>
        <v>712.72</v>
      </c>
      <c r="K570" s="1921"/>
    </row>
    <row r="571" spans="1:11" ht="15.75" thickBot="1">
      <c r="A571" s="1092"/>
      <c r="B571" s="1981" t="s">
        <v>965</v>
      </c>
      <c r="C571" s="1092"/>
      <c r="D571" s="2066" t="s">
        <v>1507</v>
      </c>
      <c r="E571" s="2066"/>
      <c r="F571" s="2066"/>
      <c r="G571" s="2066"/>
      <c r="H571" s="2066"/>
      <c r="I571" s="1989"/>
      <c r="J571" s="1986"/>
      <c r="K571" s="1921"/>
    </row>
    <row r="572" spans="1:11" ht="15.75" thickBot="1">
      <c r="A572" s="1092"/>
      <c r="B572" s="1985"/>
      <c r="C572" s="2005" t="s">
        <v>10</v>
      </c>
      <c r="D572" s="2006" t="s">
        <v>11</v>
      </c>
      <c r="E572" s="2006" t="s">
        <v>12</v>
      </c>
      <c r="F572" s="2006" t="s">
        <v>13</v>
      </c>
      <c r="G572" s="2006" t="s">
        <v>14</v>
      </c>
      <c r="H572" s="2140" t="s">
        <v>1835</v>
      </c>
      <c r="I572" s="2008">
        <f>$G$17</f>
        <v>0.27</v>
      </c>
      <c r="J572" s="2007" t="s">
        <v>1834</v>
      </c>
      <c r="K572" s="1921"/>
    </row>
    <row r="573" spans="1:11">
      <c r="A573" s="1092"/>
      <c r="B573" s="1985"/>
      <c r="C573" s="2002" t="s">
        <v>1755</v>
      </c>
      <c r="D573" s="2003" t="s">
        <v>964</v>
      </c>
      <c r="E573" s="2004">
        <v>344</v>
      </c>
      <c r="F573" s="2003">
        <v>2</v>
      </c>
      <c r="G573" s="2004">
        <v>40</v>
      </c>
      <c r="H573" s="2154">
        <v>945.45454545454538</v>
      </c>
      <c r="I573" s="2115">
        <f>H573-H573*$I$586</f>
        <v>690.18181818181813</v>
      </c>
      <c r="J573" s="2103">
        <f>H573*0.8</f>
        <v>756.36363636363637</v>
      </c>
      <c r="K573" s="1921"/>
    </row>
    <row r="574" spans="1:11">
      <c r="A574" s="1092"/>
      <c r="B574" s="1985"/>
      <c r="C574" s="1996"/>
      <c r="D574" s="1996"/>
      <c r="E574" s="814"/>
      <c r="F574" s="1996"/>
      <c r="G574" s="814"/>
      <c r="H574" s="1998"/>
      <c r="I574" s="1989"/>
      <c r="J574" s="1984"/>
      <c r="K574" s="1921"/>
    </row>
    <row r="575" spans="1:11" ht="18.75">
      <c r="A575" s="1092"/>
      <c r="B575" s="1994" t="s">
        <v>967</v>
      </c>
      <c r="C575" s="1973"/>
      <c r="D575" s="1973"/>
      <c r="E575" s="1973"/>
      <c r="F575" s="1973"/>
      <c r="G575" s="1973"/>
      <c r="H575" s="1998"/>
      <c r="I575" s="1989"/>
      <c r="J575" s="1995" t="s">
        <v>1780</v>
      </c>
      <c r="K575" s="1921"/>
    </row>
    <row r="576" spans="1:11" s="1340" customFormat="1">
      <c r="A576" s="1945"/>
      <c r="B576" s="1974" t="s">
        <v>1</v>
      </c>
      <c r="C576" s="2053"/>
      <c r="D576" s="1979"/>
      <c r="E576" s="1975"/>
      <c r="F576" s="1979"/>
      <c r="G576" s="1975"/>
      <c r="H576" s="2067"/>
      <c r="I576" s="1966"/>
      <c r="J576" s="1965"/>
      <c r="K576" s="1921"/>
    </row>
    <row r="577" spans="1:12" s="1340" customFormat="1" ht="24" customHeight="1">
      <c r="A577" s="1945"/>
      <c r="B577" s="2106" t="s">
        <v>968</v>
      </c>
      <c r="C577" s="2107"/>
      <c r="D577" s="2107"/>
      <c r="E577" s="2107"/>
      <c r="F577" s="2107"/>
      <c r="G577" s="2107"/>
      <c r="H577" s="2107"/>
      <c r="I577" s="2107"/>
      <c r="J577" s="2107"/>
      <c r="K577" s="1921"/>
    </row>
    <row r="578" spans="1:12" s="1340" customFormat="1">
      <c r="A578" s="1945"/>
      <c r="B578" s="1974" t="s">
        <v>2</v>
      </c>
      <c r="C578" s="2053"/>
      <c r="D578" s="1945"/>
      <c r="E578" s="1945"/>
      <c r="F578" s="1976"/>
      <c r="G578" s="1945"/>
      <c r="H578" s="1965"/>
      <c r="I578" s="1966"/>
      <c r="J578" s="1965" t="s">
        <v>1649</v>
      </c>
      <c r="K578" s="1921"/>
      <c r="L578" s="1920"/>
    </row>
    <row r="579" spans="1:12" s="1340" customFormat="1" ht="12" customHeight="1">
      <c r="A579" s="1945"/>
      <c r="B579" s="2029" t="s">
        <v>1855</v>
      </c>
      <c r="C579" s="1975"/>
      <c r="D579" s="1945"/>
      <c r="E579" s="1945"/>
      <c r="F579" s="1976"/>
      <c r="G579" s="1945"/>
      <c r="H579" s="1965"/>
      <c r="I579" s="1966"/>
      <c r="J579" s="1965" t="s">
        <v>1649</v>
      </c>
      <c r="K579" s="1921"/>
      <c r="L579" s="1920"/>
    </row>
    <row r="580" spans="1:12" s="1340" customFormat="1" ht="12" customHeight="1">
      <c r="A580" s="1945"/>
      <c r="B580" s="2029" t="s">
        <v>87</v>
      </c>
      <c r="C580" s="1945"/>
      <c r="D580" s="1945"/>
      <c r="E580" s="1945"/>
      <c r="F580" s="1976"/>
      <c r="G580" s="1945"/>
      <c r="H580" s="1965"/>
      <c r="I580" s="1966"/>
      <c r="J580" s="1965" t="s">
        <v>1649</v>
      </c>
      <c r="K580" s="1921"/>
      <c r="L580" s="1920"/>
    </row>
    <row r="581" spans="1:12" s="1340" customFormat="1" ht="12" customHeight="1">
      <c r="A581" s="1945"/>
      <c r="B581" s="1974" t="s">
        <v>5</v>
      </c>
      <c r="C581" s="1945"/>
      <c r="D581" s="1945"/>
      <c r="E581" s="1945"/>
      <c r="F581" s="1976"/>
      <c r="G581" s="1945"/>
      <c r="H581" s="1965"/>
      <c r="I581" s="1966"/>
      <c r="J581" s="1965" t="s">
        <v>1649</v>
      </c>
      <c r="K581" s="1921"/>
      <c r="L581" s="1920"/>
    </row>
    <row r="582" spans="1:12" s="1340" customFormat="1" ht="12" customHeight="1">
      <c r="A582" s="1945"/>
      <c r="B582" s="1978" t="s">
        <v>88</v>
      </c>
      <c r="C582" s="1975"/>
      <c r="D582" s="1945"/>
      <c r="E582" s="1945"/>
      <c r="F582" s="1976"/>
      <c r="G582" s="1945"/>
      <c r="H582" s="1965"/>
      <c r="I582" s="1966"/>
      <c r="J582" s="1965" t="s">
        <v>1649</v>
      </c>
      <c r="K582" s="1921"/>
      <c r="L582" s="1920"/>
    </row>
    <row r="583" spans="1:12" s="1340" customFormat="1" ht="12" customHeight="1">
      <c r="A583" s="1945"/>
      <c r="B583" s="1978" t="s">
        <v>1800</v>
      </c>
      <c r="C583" s="1979"/>
      <c r="D583" s="1945"/>
      <c r="E583" s="1945"/>
      <c r="F583" s="1945"/>
      <c r="G583" s="1945"/>
      <c r="H583" s="1965"/>
      <c r="I583" s="1966"/>
      <c r="J583" s="1965" t="s">
        <v>1649</v>
      </c>
      <c r="K583" s="1921"/>
      <c r="L583" s="1920"/>
    </row>
    <row r="584" spans="1:12" s="1340" customFormat="1">
      <c r="A584" s="1945"/>
      <c r="B584" s="2029"/>
      <c r="C584" s="2023"/>
      <c r="D584" s="2023"/>
      <c r="E584" s="415"/>
      <c r="F584" s="2023"/>
      <c r="G584" s="415"/>
      <c r="H584" s="2068"/>
      <c r="I584" s="1966"/>
      <c r="J584" s="1965"/>
      <c r="K584" s="1921"/>
    </row>
    <row r="585" spans="1:12" ht="15.75" thickBot="1">
      <c r="A585" s="1092"/>
      <c r="B585" s="1981" t="s">
        <v>93</v>
      </c>
      <c r="C585" s="1983"/>
      <c r="D585" s="1982" t="s">
        <v>94</v>
      </c>
      <c r="E585" s="1983"/>
      <c r="F585" s="1983"/>
      <c r="G585" s="1983"/>
      <c r="H585" s="1984"/>
      <c r="I585" s="1989"/>
      <c r="J585" s="1984"/>
      <c r="K585" s="1921"/>
    </row>
    <row r="586" spans="1:12" ht="15.75" thickBot="1">
      <c r="A586" s="1092"/>
      <c r="B586" s="1985"/>
      <c r="C586" s="2005" t="s">
        <v>10</v>
      </c>
      <c r="D586" s="2006" t="s">
        <v>11</v>
      </c>
      <c r="E586" s="2006" t="s">
        <v>12</v>
      </c>
      <c r="F586" s="2006" t="s">
        <v>13</v>
      </c>
      <c r="G586" s="2006" t="s">
        <v>14</v>
      </c>
      <c r="H586" s="2140" t="s">
        <v>1835</v>
      </c>
      <c r="I586" s="2008">
        <f>$G$17</f>
        <v>0.27</v>
      </c>
      <c r="J586" s="2007" t="s">
        <v>1834</v>
      </c>
      <c r="K586" s="1921"/>
    </row>
    <row r="587" spans="1:12">
      <c r="A587" s="1092"/>
      <c r="B587" s="1987"/>
      <c r="C587" s="2002" t="s">
        <v>1756</v>
      </c>
      <c r="D587" s="2003" t="s">
        <v>190</v>
      </c>
      <c r="E587" s="2004">
        <v>149</v>
      </c>
      <c r="F587" s="2003">
        <v>20</v>
      </c>
      <c r="G587" s="2004">
        <v>120</v>
      </c>
      <c r="H587" s="2151">
        <v>343.63636363636363</v>
      </c>
      <c r="I587" s="2115">
        <f>H587-H587*$I$586</f>
        <v>250.85454545454544</v>
      </c>
      <c r="J587" s="2103">
        <f>H587*0.8</f>
        <v>274.90909090909093</v>
      </c>
      <c r="K587" s="1921"/>
    </row>
    <row r="588" spans="1:12">
      <c r="A588" s="1092"/>
      <c r="B588" s="1985"/>
      <c r="C588" s="1999" t="s">
        <v>1757</v>
      </c>
      <c r="D588" s="2000" t="s">
        <v>192</v>
      </c>
      <c r="E588" s="2001">
        <v>216</v>
      </c>
      <c r="F588" s="2000">
        <v>15</v>
      </c>
      <c r="G588" s="2001">
        <v>90</v>
      </c>
      <c r="H588" s="2164">
        <v>470.90909090909088</v>
      </c>
      <c r="I588" s="2115">
        <f>H588-H588*$I$586</f>
        <v>343.76363636363635</v>
      </c>
      <c r="J588" s="2104">
        <f>H588*0.8</f>
        <v>376.72727272727275</v>
      </c>
      <c r="K588" s="1921"/>
    </row>
    <row r="589" spans="1:12" ht="15.75" thickBot="1">
      <c r="A589" s="1092"/>
      <c r="B589" s="1981" t="s">
        <v>95</v>
      </c>
      <c r="C589" s="1983"/>
      <c r="D589" s="1982" t="s">
        <v>96</v>
      </c>
      <c r="E589" s="1983"/>
      <c r="F589" s="1983"/>
      <c r="G589" s="1983"/>
      <c r="H589" s="1984"/>
      <c r="I589" s="1989"/>
      <c r="J589" s="1984"/>
      <c r="K589" s="1921"/>
    </row>
    <row r="590" spans="1:12" ht="15.75" thickBot="1">
      <c r="A590" s="1092"/>
      <c r="B590" s="1985"/>
      <c r="C590" s="2005" t="s">
        <v>10</v>
      </c>
      <c r="D590" s="2006" t="s">
        <v>11</v>
      </c>
      <c r="E590" s="2006" t="s">
        <v>12</v>
      </c>
      <c r="F590" s="2006" t="s">
        <v>13</v>
      </c>
      <c r="G590" s="2006" t="s">
        <v>14</v>
      </c>
      <c r="H590" s="2007" t="s">
        <v>1835</v>
      </c>
      <c r="I590" s="2008">
        <f>$G$17</f>
        <v>0.27</v>
      </c>
      <c r="J590" s="2007" t="s">
        <v>1834</v>
      </c>
      <c r="K590" s="1921"/>
    </row>
    <row r="591" spans="1:12">
      <c r="A591" s="1092"/>
      <c r="B591" s="1987"/>
      <c r="C591" s="2002" t="s">
        <v>1758</v>
      </c>
      <c r="D591" s="2003" t="s">
        <v>190</v>
      </c>
      <c r="E591" s="2004">
        <v>162</v>
      </c>
      <c r="F591" s="2003">
        <v>20</v>
      </c>
      <c r="G591" s="2004">
        <v>120</v>
      </c>
      <c r="H591" s="2154">
        <v>399.99999999999994</v>
      </c>
      <c r="I591" s="2115">
        <f>H591-H591*$I$590</f>
        <v>291.99999999999994</v>
      </c>
      <c r="J591" s="2103">
        <f>H591*0.8</f>
        <v>320</v>
      </c>
      <c r="K591" s="1921"/>
    </row>
    <row r="592" spans="1:12">
      <c r="A592" s="1092"/>
      <c r="B592" s="1985"/>
      <c r="C592" s="1999" t="s">
        <v>1759</v>
      </c>
      <c r="D592" s="2000" t="s">
        <v>192</v>
      </c>
      <c r="E592" s="2001">
        <v>235</v>
      </c>
      <c r="F592" s="2000">
        <v>15</v>
      </c>
      <c r="G592" s="2001">
        <v>90</v>
      </c>
      <c r="H592" s="2155">
        <v>507.3</v>
      </c>
      <c r="I592" s="2115">
        <f>H592-H592*$I$590</f>
        <v>370.32900000000001</v>
      </c>
      <c r="J592" s="2104">
        <f>H592*0.8</f>
        <v>405.84000000000003</v>
      </c>
      <c r="K592" s="1921"/>
    </row>
    <row r="593" spans="1:12">
      <c r="A593" s="1092"/>
      <c r="B593" s="1985"/>
      <c r="C593" s="1996"/>
      <c r="D593" s="1996"/>
      <c r="E593" s="814"/>
      <c r="F593" s="1996"/>
      <c r="G593" s="814"/>
      <c r="H593" s="1998"/>
      <c r="I593" s="1989"/>
      <c r="J593" s="1984"/>
      <c r="K593" s="1921"/>
    </row>
    <row r="594" spans="1:12" ht="18.75">
      <c r="A594" s="1092"/>
      <c r="B594" s="1994" t="s">
        <v>97</v>
      </c>
      <c r="C594" s="1973"/>
      <c r="D594" s="1973"/>
      <c r="E594" s="1973"/>
      <c r="F594" s="2065"/>
      <c r="G594" s="1958"/>
      <c r="H594" s="2069"/>
      <c r="I594" s="1947"/>
      <c r="J594" s="1995" t="s">
        <v>1780</v>
      </c>
      <c r="K594" s="1921"/>
    </row>
    <row r="595" spans="1:12" s="1340" customFormat="1" ht="15" customHeight="1">
      <c r="A595" s="1945"/>
      <c r="B595" s="1974" t="s">
        <v>1</v>
      </c>
      <c r="C595" s="1945"/>
      <c r="D595" s="1945"/>
      <c r="E595" s="1945"/>
      <c r="F595" s="1976"/>
      <c r="G595" s="1945"/>
      <c r="H595" s="1965"/>
      <c r="I595" s="1966"/>
      <c r="J595" s="1965" t="s">
        <v>1649</v>
      </c>
      <c r="K595" s="1921"/>
      <c r="L595" s="1920"/>
    </row>
    <row r="596" spans="1:12" s="1340" customFormat="1" ht="12" customHeight="1">
      <c r="A596" s="1945"/>
      <c r="B596" s="2192" t="s">
        <v>563</v>
      </c>
      <c r="C596" s="2192"/>
      <c r="D596" s="2192"/>
      <c r="E596" s="2192"/>
      <c r="F596" s="2192"/>
      <c r="G596" s="2192"/>
      <c r="H596" s="2192"/>
      <c r="I596" s="2192"/>
      <c r="J596" s="2192"/>
      <c r="K596" s="1921"/>
      <c r="L596" s="1920"/>
    </row>
    <row r="597" spans="1:12" s="1340" customFormat="1" ht="12.75" customHeight="1">
      <c r="A597" s="1945"/>
      <c r="B597" s="1974" t="s">
        <v>2</v>
      </c>
      <c r="C597" s="2053"/>
      <c r="D597" s="1945"/>
      <c r="E597" s="1945"/>
      <c r="F597" s="1976"/>
      <c r="G597" s="1945"/>
      <c r="H597" s="1965"/>
      <c r="I597" s="1966"/>
      <c r="J597" s="1965" t="s">
        <v>1649</v>
      </c>
      <c r="K597" s="1921"/>
      <c r="L597" s="1920"/>
    </row>
    <row r="598" spans="1:12" s="1340" customFormat="1" ht="12.75" customHeight="1">
      <c r="A598" s="1945"/>
      <c r="B598" s="2029" t="s">
        <v>98</v>
      </c>
      <c r="C598" s="1945"/>
      <c r="D598" s="1945"/>
      <c r="E598" s="1945"/>
      <c r="F598" s="1976"/>
      <c r="G598" s="1945"/>
      <c r="H598" s="1965"/>
      <c r="I598" s="1966"/>
      <c r="J598" s="1965" t="s">
        <v>1649</v>
      </c>
      <c r="K598" s="1921"/>
      <c r="L598" s="1920"/>
    </row>
    <row r="599" spans="1:12" s="1340" customFormat="1" ht="12.75" customHeight="1">
      <c r="A599" s="1945"/>
      <c r="B599" s="2029" t="s">
        <v>99</v>
      </c>
      <c r="C599" s="1945"/>
      <c r="D599" s="1945"/>
      <c r="E599" s="1945"/>
      <c r="F599" s="1945"/>
      <c r="G599" s="1945"/>
      <c r="H599" s="1965"/>
      <c r="I599" s="1966"/>
      <c r="J599" s="1965" t="s">
        <v>1649</v>
      </c>
      <c r="K599" s="1921"/>
      <c r="L599" s="1920"/>
    </row>
    <row r="600" spans="1:12" s="1340" customFormat="1" ht="12.75" customHeight="1">
      <c r="A600" s="1945"/>
      <c r="B600" s="1945" t="s">
        <v>100</v>
      </c>
      <c r="C600" s="1945"/>
      <c r="D600" s="1945"/>
      <c r="E600" s="1945"/>
      <c r="F600" s="1945"/>
      <c r="G600" s="1945"/>
      <c r="H600" s="1965"/>
      <c r="I600" s="1966"/>
      <c r="J600" s="1965"/>
      <c r="K600" s="1921"/>
      <c r="L600" s="1920"/>
    </row>
    <row r="601" spans="1:12" s="1340" customFormat="1" ht="12.75" customHeight="1">
      <c r="A601" s="1945"/>
      <c r="B601" s="2105" t="s">
        <v>1797</v>
      </c>
      <c r="C601" s="2105"/>
      <c r="D601" s="2105"/>
      <c r="E601" s="2105"/>
      <c r="F601" s="2105"/>
      <c r="G601" s="2105"/>
      <c r="H601" s="2105"/>
      <c r="I601" s="2105"/>
      <c r="J601" s="2105"/>
      <c r="K601" s="1921"/>
      <c r="L601" s="1920"/>
    </row>
    <row r="602" spans="1:12" s="1340" customFormat="1" ht="12.75" customHeight="1">
      <c r="A602" s="1945"/>
      <c r="B602" s="1974" t="s">
        <v>5</v>
      </c>
      <c r="C602" s="2053"/>
      <c r="D602" s="1945"/>
      <c r="E602" s="1945"/>
      <c r="F602" s="1976"/>
      <c r="G602" s="1945"/>
      <c r="H602" s="1965"/>
      <c r="I602" s="1966"/>
      <c r="J602" s="1965" t="s">
        <v>1649</v>
      </c>
      <c r="K602" s="1921"/>
      <c r="L602" s="1920"/>
    </row>
    <row r="603" spans="1:12" s="1340" customFormat="1" ht="12.75" customHeight="1">
      <c r="A603" s="1945"/>
      <c r="B603" s="1978" t="s">
        <v>88</v>
      </c>
      <c r="C603" s="1979"/>
      <c r="D603" s="1945"/>
      <c r="E603" s="1945"/>
      <c r="F603" s="1976"/>
      <c r="G603" s="1945"/>
      <c r="H603" s="1965"/>
      <c r="I603" s="1966"/>
      <c r="J603" s="1965" t="s">
        <v>1649</v>
      </c>
      <c r="K603" s="1921"/>
      <c r="L603" s="1920"/>
    </row>
    <row r="604" spans="1:12" s="1340" customFormat="1" ht="12.75" customHeight="1">
      <c r="A604" s="1945"/>
      <c r="B604" s="2105" t="s">
        <v>740</v>
      </c>
      <c r="C604" s="2105"/>
      <c r="D604" s="2105"/>
      <c r="E604" s="2105"/>
      <c r="F604" s="2105"/>
      <c r="G604" s="2105"/>
      <c r="H604" s="2105"/>
      <c r="I604" s="2105"/>
      <c r="J604" s="2105"/>
      <c r="K604" s="1921"/>
      <c r="L604" s="1920"/>
    </row>
    <row r="605" spans="1:12" s="1340" customFormat="1" ht="12.75" customHeight="1">
      <c r="A605" s="1945"/>
      <c r="B605" s="1978" t="s">
        <v>102</v>
      </c>
      <c r="C605" s="1979"/>
      <c r="D605" s="1945"/>
      <c r="E605" s="1945"/>
      <c r="F605" s="1976"/>
      <c r="G605" s="1945"/>
      <c r="H605" s="1965"/>
      <c r="I605" s="1966"/>
      <c r="J605" s="1965" t="s">
        <v>1649</v>
      </c>
      <c r="K605" s="1921"/>
      <c r="L605" s="1920"/>
    </row>
    <row r="606" spans="1:12">
      <c r="A606" s="1092"/>
      <c r="B606" s="2030"/>
      <c r="C606" s="2050"/>
      <c r="D606" s="1944"/>
      <c r="E606" s="1983"/>
      <c r="F606" s="1982"/>
      <c r="G606" s="1945"/>
      <c r="H606" s="1984"/>
      <c r="I606" s="1947"/>
      <c r="J606" s="1946"/>
      <c r="K606" s="1921"/>
    </row>
    <row r="607" spans="1:12" ht="15" customHeight="1" thickBot="1">
      <c r="A607" s="1092"/>
      <c r="B607" s="1981" t="s">
        <v>103</v>
      </c>
      <c r="C607" s="1983"/>
      <c r="D607" s="1982" t="s">
        <v>104</v>
      </c>
      <c r="E607" s="1983"/>
      <c r="F607" s="1983"/>
      <c r="G607" s="1983"/>
      <c r="H607" s="1984"/>
      <c r="I607" s="1989"/>
      <c r="J607" s="1984"/>
      <c r="K607" s="1921"/>
    </row>
    <row r="608" spans="1:12" ht="15.75" thickBot="1">
      <c r="A608" s="1092"/>
      <c r="B608" s="1985"/>
      <c r="C608" s="2005" t="s">
        <v>10</v>
      </c>
      <c r="D608" s="2006" t="s">
        <v>11</v>
      </c>
      <c r="E608" s="2006" t="s">
        <v>12</v>
      </c>
      <c r="F608" s="2006" t="s">
        <v>13</v>
      </c>
      <c r="G608" s="2006" t="s">
        <v>14</v>
      </c>
      <c r="H608" s="2007" t="s">
        <v>1835</v>
      </c>
      <c r="I608" s="2008">
        <f>$G$17</f>
        <v>0.27</v>
      </c>
      <c r="J608" s="2007" t="s">
        <v>1834</v>
      </c>
      <c r="K608" s="1921"/>
    </row>
    <row r="609" spans="1:12">
      <c r="A609" s="1092"/>
      <c r="B609" s="1987"/>
      <c r="C609" s="2002" t="s">
        <v>1999</v>
      </c>
      <c r="D609" s="2003" t="s">
        <v>190</v>
      </c>
      <c r="E609" s="2004">
        <v>205</v>
      </c>
      <c r="F609" s="2003">
        <v>18</v>
      </c>
      <c r="G609" s="2004">
        <v>90</v>
      </c>
      <c r="H609" s="2154">
        <v>543.63636363636363</v>
      </c>
      <c r="I609" s="2115">
        <f>H609-H609*$I$608</f>
        <v>396.85454545454547</v>
      </c>
      <c r="J609" s="2103">
        <f>H609*0.8</f>
        <v>434.90909090909093</v>
      </c>
      <c r="K609" s="1921"/>
    </row>
    <row r="610" spans="1:12">
      <c r="A610" s="1092"/>
      <c r="B610" s="1985"/>
      <c r="C610" s="1999" t="s">
        <v>2000</v>
      </c>
      <c r="D610" s="2000" t="s">
        <v>192</v>
      </c>
      <c r="E610" s="2001">
        <v>270</v>
      </c>
      <c r="F610" s="2000">
        <v>14</v>
      </c>
      <c r="G610" s="2001">
        <v>70</v>
      </c>
      <c r="H610" s="2155">
        <v>761.81818181818176</v>
      </c>
      <c r="I610" s="2115">
        <f>H610-H610*$I$608</f>
        <v>556.12727272727261</v>
      </c>
      <c r="J610" s="2104">
        <f>H610*0.8</f>
        <v>609.45454545454538</v>
      </c>
      <c r="K610" s="1921"/>
    </row>
    <row r="611" spans="1:12" ht="15.75" thickBot="1">
      <c r="A611" s="1092"/>
      <c r="B611" s="1981" t="s">
        <v>105</v>
      </c>
      <c r="C611" s="1983"/>
      <c r="D611" s="1982" t="s">
        <v>106</v>
      </c>
      <c r="E611" s="1983"/>
      <c r="F611" s="1983"/>
      <c r="G611" s="1983"/>
      <c r="H611" s="1984"/>
      <c r="I611" s="1989"/>
      <c r="J611" s="1984"/>
      <c r="K611" s="1921"/>
    </row>
    <row r="612" spans="1:12" ht="15.75" thickBot="1">
      <c r="A612" s="1092"/>
      <c r="B612" s="1985"/>
      <c r="C612" s="2005" t="s">
        <v>10</v>
      </c>
      <c r="D612" s="2006" t="s">
        <v>11</v>
      </c>
      <c r="E612" s="2006" t="s">
        <v>12</v>
      </c>
      <c r="F612" s="2006" t="s">
        <v>13</v>
      </c>
      <c r="G612" s="2006" t="s">
        <v>14</v>
      </c>
      <c r="H612" s="2007" t="s">
        <v>1835</v>
      </c>
      <c r="I612" s="2008">
        <f>$G$17</f>
        <v>0.27</v>
      </c>
      <c r="J612" s="2007" t="s">
        <v>1834</v>
      </c>
      <c r="K612" s="1921"/>
    </row>
    <row r="613" spans="1:12">
      <c r="A613" s="1092"/>
      <c r="B613" s="1987"/>
      <c r="C613" s="2002" t="s">
        <v>1939</v>
      </c>
      <c r="D613" s="2003" t="s">
        <v>190</v>
      </c>
      <c r="E613" s="2004">
        <v>206</v>
      </c>
      <c r="F613" s="2003">
        <v>25</v>
      </c>
      <c r="G613" s="2004">
        <v>100</v>
      </c>
      <c r="H613" s="2154">
        <v>561.81818181818176</v>
      </c>
      <c r="I613" s="2115">
        <f>H613-H613*$I$608</f>
        <v>410.12727272727267</v>
      </c>
      <c r="J613" s="2103">
        <f>H613*0.8</f>
        <v>449.45454545454544</v>
      </c>
      <c r="K613" s="1921"/>
    </row>
    <row r="614" spans="1:12">
      <c r="A614" s="1092"/>
      <c r="B614" s="1985"/>
      <c r="C614" s="1999" t="s">
        <v>2001</v>
      </c>
      <c r="D614" s="2000" t="s">
        <v>192</v>
      </c>
      <c r="E614" s="2001">
        <v>290</v>
      </c>
      <c r="F614" s="2000">
        <v>16</v>
      </c>
      <c r="G614" s="2001">
        <v>64</v>
      </c>
      <c r="H614" s="2155">
        <v>798.18181818181813</v>
      </c>
      <c r="I614" s="2115">
        <f>H614-H614*$I$608</f>
        <v>582.67272727272723</v>
      </c>
      <c r="J614" s="2104">
        <f>H614*0.8</f>
        <v>638.5454545454545</v>
      </c>
      <c r="K614" s="1921"/>
    </row>
    <row r="615" spans="1:12">
      <c r="A615" s="1092"/>
      <c r="B615" s="1985"/>
      <c r="C615" s="1996"/>
      <c r="D615" s="2048"/>
      <c r="E615" s="814"/>
      <c r="F615" s="1996"/>
      <c r="G615" s="415"/>
      <c r="H615" s="1998"/>
      <c r="I615" s="1947"/>
      <c r="J615" s="1946"/>
      <c r="K615" s="1921"/>
    </row>
    <row r="616" spans="1:12" ht="18.75">
      <c r="A616" s="1092"/>
      <c r="B616" s="1994" t="s">
        <v>116</v>
      </c>
      <c r="C616" s="1973"/>
      <c r="D616" s="1973"/>
      <c r="E616" s="1983"/>
      <c r="F616" s="1983"/>
      <c r="G616" s="1945"/>
      <c r="H616" s="1984"/>
      <c r="I616" s="1947"/>
      <c r="J616" s="1946" t="s">
        <v>1649</v>
      </c>
      <c r="K616" s="1921"/>
    </row>
    <row r="617" spans="1:12" s="1340" customFormat="1">
      <c r="A617" s="1945"/>
      <c r="B617" s="1974" t="s">
        <v>1</v>
      </c>
      <c r="C617" s="1945"/>
      <c r="D617" s="1945"/>
      <c r="E617" s="1945"/>
      <c r="F617" s="1945"/>
      <c r="G617" s="1964"/>
      <c r="H617" s="1977"/>
      <c r="I617" s="1966"/>
      <c r="J617" s="1965" t="s">
        <v>1649</v>
      </c>
      <c r="K617" s="1921"/>
      <c r="L617" s="1920"/>
    </row>
    <row r="618" spans="1:12" s="1340" customFormat="1" ht="37.5" customHeight="1">
      <c r="A618" s="1945"/>
      <c r="B618" s="2192" t="s">
        <v>606</v>
      </c>
      <c r="C618" s="2192"/>
      <c r="D618" s="2192"/>
      <c r="E618" s="2192"/>
      <c r="F618" s="2192"/>
      <c r="G618" s="2192"/>
      <c r="H618" s="2192"/>
      <c r="I618" s="2192"/>
      <c r="J618" s="2192"/>
      <c r="K618" s="1921"/>
      <c r="L618" s="1920"/>
    </row>
    <row r="619" spans="1:12" s="1340" customFormat="1">
      <c r="A619" s="1945"/>
      <c r="B619" s="1974" t="s">
        <v>2</v>
      </c>
      <c r="C619" s="2070"/>
      <c r="D619" s="1945"/>
      <c r="E619" s="1945"/>
      <c r="F619" s="1945"/>
      <c r="G619" s="1945"/>
      <c r="H619" s="1965"/>
      <c r="I619" s="1966"/>
      <c r="J619" s="1965" t="s">
        <v>1649</v>
      </c>
      <c r="K619" s="1921"/>
      <c r="L619" s="1920"/>
    </row>
    <row r="620" spans="1:12" s="1340" customFormat="1">
      <c r="A620" s="1945"/>
      <c r="B620" s="2207" t="s">
        <v>108</v>
      </c>
      <c r="C620" s="2207"/>
      <c r="D620" s="2207"/>
      <c r="E620" s="2207"/>
      <c r="F620" s="2207"/>
      <c r="G620" s="2207"/>
      <c r="H620" s="2207"/>
      <c r="I620" s="1966"/>
      <c r="J620" s="1965" t="s">
        <v>1649</v>
      </c>
      <c r="K620" s="1921"/>
      <c r="L620" s="1920"/>
    </row>
    <row r="621" spans="1:12" s="1340" customFormat="1">
      <c r="A621" s="1945"/>
      <c r="B621" s="2032" t="s">
        <v>109</v>
      </c>
      <c r="C621" s="2071">
        <v>1</v>
      </c>
      <c r="D621" s="2032">
        <v>2</v>
      </c>
      <c r="E621" s="2032">
        <v>3</v>
      </c>
      <c r="F621" s="2032">
        <v>4</v>
      </c>
      <c r="G621" s="2032">
        <v>5</v>
      </c>
      <c r="H621" s="1965"/>
      <c r="I621" s="1966"/>
      <c r="J621" s="1967"/>
      <c r="K621" s="1921"/>
      <c r="L621" s="1920"/>
    </row>
    <row r="622" spans="1:12" s="1340" customFormat="1">
      <c r="A622" s="1945"/>
      <c r="B622" s="2033" t="s">
        <v>1802</v>
      </c>
      <c r="C622" s="2072" t="s">
        <v>1263</v>
      </c>
      <c r="D622" s="2073" t="s">
        <v>110</v>
      </c>
      <c r="E622" s="2073" t="s">
        <v>111</v>
      </c>
      <c r="F622" s="2073" t="s">
        <v>112</v>
      </c>
      <c r="G622" s="2073" t="s">
        <v>113</v>
      </c>
      <c r="H622" s="1965"/>
      <c r="I622" s="1966"/>
      <c r="J622" s="1967"/>
      <c r="K622" s="1921"/>
      <c r="L622" s="1920"/>
    </row>
    <row r="623" spans="1:12" s="1340" customFormat="1" ht="12" customHeight="1">
      <c r="A623" s="1945"/>
      <c r="B623" s="1974" t="s">
        <v>5</v>
      </c>
      <c r="C623" s="1945"/>
      <c r="D623" s="1945"/>
      <c r="E623" s="1945"/>
      <c r="F623" s="1945"/>
      <c r="G623" s="1945"/>
      <c r="H623" s="1965"/>
      <c r="I623" s="1966"/>
      <c r="J623" s="1965" t="s">
        <v>1649</v>
      </c>
      <c r="K623" s="1921"/>
      <c r="L623" s="1920"/>
    </row>
    <row r="624" spans="1:12" s="1340" customFormat="1" ht="12" customHeight="1">
      <c r="A624" s="1945"/>
      <c r="B624" s="1978" t="s">
        <v>1801</v>
      </c>
      <c r="C624" s="1979"/>
      <c r="D624" s="1945"/>
      <c r="E624" s="1945"/>
      <c r="F624" s="1945"/>
      <c r="G624" s="1945"/>
      <c r="H624" s="1965"/>
      <c r="I624" s="1966"/>
      <c r="J624" s="1965" t="s">
        <v>1649</v>
      </c>
      <c r="K624" s="1921"/>
      <c r="L624" s="1920"/>
    </row>
    <row r="625" spans="1:12" s="1340" customFormat="1" ht="12" customHeight="1">
      <c r="A625" s="1945"/>
      <c r="B625" s="2029" t="s">
        <v>114</v>
      </c>
      <c r="C625" s="1979"/>
      <c r="D625" s="1945"/>
      <c r="E625" s="1945"/>
      <c r="F625" s="1945"/>
      <c r="G625" s="1945"/>
      <c r="H625" s="1965"/>
      <c r="I625" s="1966"/>
      <c r="J625" s="1965" t="s">
        <v>1649</v>
      </c>
      <c r="K625" s="1921"/>
      <c r="L625" s="1920"/>
    </row>
    <row r="626" spans="1:12" s="1340" customFormat="1">
      <c r="A626" s="1945"/>
      <c r="B626" s="2029"/>
      <c r="C626" s="1979"/>
      <c r="D626" s="1945"/>
      <c r="E626" s="1945"/>
      <c r="F626" s="1945"/>
      <c r="G626" s="1945"/>
      <c r="H626" s="1965"/>
      <c r="I626" s="1966"/>
      <c r="J626" s="1965"/>
      <c r="K626" s="1921"/>
      <c r="L626" s="1920"/>
    </row>
    <row r="627" spans="1:12">
      <c r="A627" s="1092"/>
      <c r="B627" s="1981" t="s">
        <v>115</v>
      </c>
      <c r="C627" s="1983"/>
      <c r="D627" s="1982" t="s">
        <v>116</v>
      </c>
      <c r="E627" s="1983"/>
      <c r="F627" s="1983"/>
      <c r="G627" s="1945"/>
      <c r="H627" s="1984"/>
      <c r="I627" s="1947"/>
      <c r="J627" s="1946"/>
      <c r="K627" s="1921"/>
    </row>
    <row r="628" spans="1:12" ht="15.75" thickBot="1">
      <c r="A628" s="1092"/>
      <c r="B628" s="1985"/>
      <c r="C628" s="1982"/>
      <c r="D628" s="1983" t="s">
        <v>1803</v>
      </c>
      <c r="E628" s="1983"/>
      <c r="F628" s="1983"/>
      <c r="G628" s="1945"/>
      <c r="H628" s="1984"/>
      <c r="I628" s="1947"/>
      <c r="J628" s="1946"/>
      <c r="K628" s="1921"/>
    </row>
    <row r="629" spans="1:12" ht="18" customHeight="1" thickBot="1">
      <c r="A629" s="1092"/>
      <c r="B629" s="1985"/>
      <c r="C629" s="2005" t="s">
        <v>10</v>
      </c>
      <c r="D629" s="2006" t="s">
        <v>11</v>
      </c>
      <c r="E629" s="2006" t="s">
        <v>12</v>
      </c>
      <c r="F629" s="2006" t="s">
        <v>13</v>
      </c>
      <c r="G629" s="2006" t="s">
        <v>14</v>
      </c>
      <c r="H629" s="2007" t="s">
        <v>1835</v>
      </c>
      <c r="I629" s="2008">
        <f>$G$17</f>
        <v>0.27</v>
      </c>
      <c r="J629" s="2007" t="s">
        <v>1834</v>
      </c>
      <c r="K629" s="1921"/>
    </row>
    <row r="630" spans="1:12" ht="15.75" customHeight="1">
      <c r="A630" s="1092"/>
      <c r="B630" s="1987"/>
      <c r="C630" s="2002" t="s">
        <v>1778</v>
      </c>
      <c r="D630" s="2003" t="s">
        <v>356</v>
      </c>
      <c r="E630" s="2004">
        <v>131</v>
      </c>
      <c r="F630" s="2003">
        <v>1</v>
      </c>
      <c r="G630" s="2004">
        <v>160</v>
      </c>
      <c r="H630" s="2154">
        <v>500</v>
      </c>
      <c r="I630" s="2115">
        <f>H630-H630*$I$629</f>
        <v>365</v>
      </c>
      <c r="J630" s="2103">
        <f>H630*0.8</f>
        <v>400</v>
      </c>
      <c r="K630" s="1921"/>
    </row>
    <row r="631" spans="1:12">
      <c r="A631" s="1092"/>
      <c r="B631" s="1985"/>
      <c r="C631" s="1092"/>
      <c r="D631" s="1944"/>
      <c r="E631" s="1983"/>
      <c r="F631" s="1983"/>
      <c r="G631" s="1945"/>
      <c r="H631" s="1984"/>
      <c r="I631" s="1947"/>
      <c r="J631" s="1946"/>
      <c r="K631" s="1921"/>
    </row>
    <row r="632" spans="1:12" ht="15.75" customHeight="1">
      <c r="A632" s="1092"/>
      <c r="B632" s="1994" t="s">
        <v>2018</v>
      </c>
      <c r="C632" s="2076"/>
      <c r="D632" s="1092"/>
      <c r="E632" s="2081"/>
      <c r="F632" s="2081"/>
      <c r="G632" s="1945"/>
      <c r="H632" s="1946"/>
      <c r="I632" s="2077"/>
      <c r="J632" s="1995" t="s">
        <v>1780</v>
      </c>
      <c r="K632" s="1921"/>
    </row>
    <row r="633" spans="1:12" s="1340" customFormat="1">
      <c r="A633" s="1945"/>
      <c r="B633" s="2034" t="s">
        <v>1</v>
      </c>
      <c r="C633" s="2022"/>
      <c r="D633" s="2022"/>
      <c r="E633" s="2022"/>
      <c r="F633" s="2022"/>
      <c r="G633" s="2022"/>
      <c r="H633" s="2025"/>
      <c r="I633" s="1966"/>
      <c r="J633" s="1965" t="s">
        <v>1649</v>
      </c>
      <c r="K633" s="1921"/>
      <c r="L633" s="1920"/>
    </row>
    <row r="634" spans="1:12" s="1340" customFormat="1" ht="54.75" customHeight="1">
      <c r="A634" s="1945"/>
      <c r="B634" s="2193" t="s">
        <v>1953</v>
      </c>
      <c r="C634" s="2193"/>
      <c r="D634" s="2193"/>
      <c r="E634" s="2193"/>
      <c r="F634" s="2193"/>
      <c r="G634" s="2193"/>
      <c r="H634" s="2193"/>
      <c r="I634" s="2193"/>
      <c r="J634" s="2193"/>
      <c r="K634" s="1921"/>
      <c r="L634" s="1920"/>
    </row>
    <row r="635" spans="1:12" s="1340" customFormat="1">
      <c r="A635" s="1945"/>
      <c r="B635" s="2034" t="s">
        <v>2</v>
      </c>
      <c r="C635" s="2022"/>
      <c r="D635" s="2082"/>
      <c r="E635" s="2022"/>
      <c r="F635" s="2082"/>
      <c r="G635" s="2022"/>
      <c r="H635" s="2084"/>
      <c r="I635" s="1966"/>
      <c r="J635" s="1965" t="s">
        <v>1649</v>
      </c>
      <c r="K635" s="1921"/>
      <c r="L635" s="1920"/>
    </row>
    <row r="636" spans="1:12" s="1340" customFormat="1">
      <c r="A636" s="1945"/>
      <c r="B636" s="2191" t="s">
        <v>1807</v>
      </c>
      <c r="C636" s="2191"/>
      <c r="D636" s="2191"/>
      <c r="E636" s="2191"/>
      <c r="F636" s="2191"/>
      <c r="G636" s="2191"/>
      <c r="H636" s="2191"/>
      <c r="I636" s="1966"/>
      <c r="J636" s="1965" t="s">
        <v>1649</v>
      </c>
      <c r="K636" s="1921"/>
      <c r="L636" s="1920"/>
    </row>
    <row r="637" spans="1:12" s="1340" customFormat="1">
      <c r="A637" s="1945"/>
      <c r="B637" s="2191" t="s">
        <v>1808</v>
      </c>
      <c r="C637" s="2191"/>
      <c r="D637" s="2191"/>
      <c r="E637" s="2191"/>
      <c r="F637" s="2191"/>
      <c r="G637" s="2191"/>
      <c r="H637" s="2191"/>
      <c r="I637" s="1966"/>
      <c r="J637" s="1965"/>
      <c r="K637" s="1921"/>
      <c r="L637" s="1920"/>
    </row>
    <row r="638" spans="1:12" s="1340" customFormat="1">
      <c r="A638" s="1945"/>
      <c r="B638" s="2191" t="s">
        <v>765</v>
      </c>
      <c r="C638" s="2191"/>
      <c r="D638" s="2191"/>
      <c r="E638" s="2191"/>
      <c r="F638" s="2191"/>
      <c r="G638" s="2085"/>
      <c r="H638" s="2086"/>
      <c r="I638" s="1966"/>
      <c r="J638" s="1965" t="s">
        <v>1649</v>
      </c>
      <c r="K638" s="1921"/>
      <c r="L638" s="1920"/>
    </row>
    <row r="639" spans="1:12" s="1340" customFormat="1">
      <c r="A639" s="1945"/>
      <c r="B639" s="2193" t="s">
        <v>1854</v>
      </c>
      <c r="C639" s="2193"/>
      <c r="D639" s="2193"/>
      <c r="E639" s="2193"/>
      <c r="F639" s="2193"/>
      <c r="G639" s="2193"/>
      <c r="H639" s="2193"/>
      <c r="I639" s="1966"/>
      <c r="J639" s="1965" t="s">
        <v>1649</v>
      </c>
      <c r="K639" s="1921"/>
      <c r="L639" s="1920"/>
    </row>
    <row r="640" spans="1:12" s="1340" customFormat="1">
      <c r="A640" s="1945"/>
      <c r="B640" s="2039"/>
      <c r="C640" s="2039"/>
      <c r="D640" s="2039"/>
      <c r="E640" s="2039"/>
      <c r="F640" s="2039"/>
      <c r="G640" s="2039"/>
      <c r="H640" s="2039"/>
      <c r="I640" s="1966"/>
      <c r="J640" s="1965"/>
      <c r="K640" s="1921"/>
      <c r="L640" s="1920"/>
    </row>
    <row r="641" spans="1:12" ht="15" customHeight="1">
      <c r="A641" s="1092"/>
      <c r="B641" s="2038" t="s">
        <v>692</v>
      </c>
      <c r="C641" s="2087"/>
      <c r="D641" s="2194" t="s">
        <v>984</v>
      </c>
      <c r="E641" s="2194"/>
      <c r="F641" s="2194"/>
      <c r="G641" s="2087"/>
      <c r="H641" s="2088"/>
      <c r="I641" s="1989"/>
      <c r="J641" s="1984" t="s">
        <v>1649</v>
      </c>
      <c r="K641" s="1921"/>
    </row>
    <row r="642" spans="1:12" ht="16.5" customHeight="1" thickBot="1">
      <c r="A642" s="1092"/>
      <c r="B642" s="2017"/>
      <c r="C642" s="2015"/>
      <c r="D642" s="2015" t="s">
        <v>31</v>
      </c>
      <c r="E642" s="2015"/>
      <c r="F642" s="2015"/>
      <c r="G642" s="2015"/>
      <c r="H642" s="2016"/>
      <c r="I642" s="1989"/>
      <c r="J642" s="1984" t="s">
        <v>1649</v>
      </c>
      <c r="K642" s="1921"/>
    </row>
    <row r="643" spans="1:12" ht="15.75" thickBot="1">
      <c r="A643" s="1092"/>
      <c r="B643" s="2017"/>
      <c r="C643" s="2005" t="s">
        <v>10</v>
      </c>
      <c r="D643" s="2006" t="s">
        <v>11</v>
      </c>
      <c r="E643" s="2006" t="s">
        <v>12</v>
      </c>
      <c r="F643" s="2006" t="s">
        <v>13</v>
      </c>
      <c r="G643" s="2006" t="s">
        <v>14</v>
      </c>
      <c r="H643" s="2007" t="s">
        <v>1835</v>
      </c>
      <c r="I643" s="2008">
        <f>$G$17</f>
        <v>0.27</v>
      </c>
      <c r="J643" s="2007" t="s">
        <v>1834</v>
      </c>
      <c r="K643" s="1921"/>
    </row>
    <row r="644" spans="1:12">
      <c r="A644" s="1092"/>
      <c r="B644" s="2017"/>
      <c r="C644" s="2002" t="s">
        <v>1764</v>
      </c>
      <c r="D644" s="2003" t="s">
        <v>766</v>
      </c>
      <c r="E644" s="2004">
        <v>720</v>
      </c>
      <c r="F644" s="2003">
        <v>1</v>
      </c>
      <c r="G644" s="2004">
        <v>10</v>
      </c>
      <c r="H644" s="2154">
        <v>1545.45</v>
      </c>
      <c r="I644" s="2115">
        <f>H644-H644*$I$629</f>
        <v>1128.1785</v>
      </c>
      <c r="J644" s="2103">
        <f>H644*0.8</f>
        <v>1236.3600000000001</v>
      </c>
      <c r="K644" s="1921"/>
    </row>
    <row r="645" spans="1:12">
      <c r="A645" s="1092"/>
      <c r="B645" s="2017"/>
      <c r="C645" s="2015"/>
      <c r="D645" s="2015"/>
      <c r="E645" s="2015"/>
      <c r="F645" s="2015"/>
      <c r="G645" s="2015"/>
      <c r="H645" s="2016"/>
      <c r="I645" s="1989"/>
      <c r="J645" s="1984"/>
      <c r="K645" s="1921"/>
    </row>
    <row r="646" spans="1:12" s="1340" customFormat="1">
      <c r="A646" s="1945"/>
      <c r="B646" s="2034" t="s">
        <v>1</v>
      </c>
      <c r="C646" s="2022"/>
      <c r="D646" s="2022"/>
      <c r="E646" s="2022"/>
      <c r="F646" s="2022"/>
      <c r="G646" s="2022"/>
      <c r="H646" s="2025"/>
      <c r="I646" s="2078"/>
      <c r="J646" s="1965" t="s">
        <v>1649</v>
      </c>
      <c r="K646" s="1921"/>
      <c r="L646" s="1920"/>
    </row>
    <row r="647" spans="1:12" s="1340" customFormat="1" ht="15" customHeight="1">
      <c r="A647" s="1945"/>
      <c r="B647" s="2193" t="s">
        <v>1952</v>
      </c>
      <c r="C647" s="2193"/>
      <c r="D647" s="2193"/>
      <c r="E647" s="2193"/>
      <c r="F647" s="2193"/>
      <c r="G647" s="2193"/>
      <c r="H647" s="2193"/>
      <c r="I647" s="2193"/>
      <c r="J647" s="2193"/>
      <c r="K647" s="1921"/>
      <c r="L647" s="1920"/>
    </row>
    <row r="648" spans="1:12" s="1340" customFormat="1" ht="15" customHeight="1">
      <c r="A648" s="1945"/>
      <c r="B648" s="2193"/>
      <c r="C648" s="2193"/>
      <c r="D648" s="2193"/>
      <c r="E648" s="2193"/>
      <c r="F648" s="2193"/>
      <c r="G648" s="2193"/>
      <c r="H648" s="2193"/>
      <c r="I648" s="2193"/>
      <c r="J648" s="2193"/>
      <c r="K648" s="1921"/>
      <c r="L648" s="1920"/>
    </row>
    <row r="649" spans="1:12" s="1340" customFormat="1">
      <c r="A649" s="1945"/>
      <c r="B649" s="2034" t="s">
        <v>2</v>
      </c>
      <c r="C649" s="2022"/>
      <c r="D649" s="2082"/>
      <c r="E649" s="2022"/>
      <c r="F649" s="2022"/>
      <c r="G649" s="2022"/>
      <c r="H649" s="2025"/>
      <c r="I649" s="2078"/>
      <c r="J649" s="1965" t="s">
        <v>1649</v>
      </c>
      <c r="K649" s="1921"/>
      <c r="L649" s="1920"/>
    </row>
    <row r="650" spans="1:12" s="1340" customFormat="1" ht="15" customHeight="1">
      <c r="A650" s="1945"/>
      <c r="B650" s="2206" t="s">
        <v>678</v>
      </c>
      <c r="C650" s="2206"/>
      <c r="D650" s="2206"/>
      <c r="E650" s="2206"/>
      <c r="F650" s="2206"/>
      <c r="G650" s="2206"/>
      <c r="H650" s="2206"/>
      <c r="I650" s="2078"/>
      <c r="J650" s="1965" t="s">
        <v>1649</v>
      </c>
      <c r="K650" s="1921"/>
      <c r="L650" s="1920"/>
    </row>
    <row r="651" spans="1:12" s="1340" customFormat="1" ht="15" customHeight="1">
      <c r="A651" s="1945"/>
      <c r="B651" s="2117"/>
      <c r="C651" s="2117"/>
      <c r="D651" s="2117"/>
      <c r="E651" s="2117"/>
      <c r="F651" s="2117"/>
      <c r="G651" s="2117"/>
      <c r="H651" s="2117"/>
      <c r="I651" s="2078"/>
      <c r="J651" s="1965"/>
      <c r="K651" s="1921"/>
      <c r="L651" s="1920"/>
    </row>
    <row r="652" spans="1:12" s="1340" customFormat="1" ht="15" customHeight="1">
      <c r="A652" s="1945"/>
      <c r="B652" s="1994" t="s">
        <v>2010</v>
      </c>
      <c r="C652" s="2035"/>
      <c r="D652" s="2035"/>
      <c r="E652" s="2035"/>
      <c r="F652" s="2035"/>
      <c r="G652" s="2035"/>
      <c r="H652" s="2035"/>
      <c r="I652" s="2078"/>
      <c r="J652" s="1965"/>
      <c r="K652" s="1921"/>
      <c r="L652" s="1920"/>
    </row>
    <row r="653" spans="1:12" ht="15.75" thickBot="1">
      <c r="A653" s="1092"/>
      <c r="B653" s="2013" t="s">
        <v>679</v>
      </c>
      <c r="C653" s="2014"/>
      <c r="D653" s="2014" t="s">
        <v>1959</v>
      </c>
      <c r="E653" s="2015"/>
      <c r="F653" s="2015"/>
      <c r="G653" s="1983"/>
      <c r="H653" s="2016"/>
      <c r="I653" s="2075"/>
      <c r="J653" s="1984"/>
      <c r="K653" s="1921"/>
    </row>
    <row r="654" spans="1:12" ht="15.75" thickBot="1">
      <c r="A654" s="1092"/>
      <c r="B654" s="2017"/>
      <c r="C654" s="2005" t="s">
        <v>10</v>
      </c>
      <c r="D654" s="2006" t="s">
        <v>11</v>
      </c>
      <c r="E654" s="2006" t="s">
        <v>12</v>
      </c>
      <c r="F654" s="2006" t="s">
        <v>13</v>
      </c>
      <c r="G654" s="2006" t="s">
        <v>14</v>
      </c>
      <c r="H654" s="2140" t="s">
        <v>1835</v>
      </c>
      <c r="I654" s="2008">
        <f>$G$17</f>
        <v>0.27</v>
      </c>
      <c r="J654" s="2007" t="s">
        <v>1834</v>
      </c>
      <c r="K654" s="1921"/>
    </row>
    <row r="655" spans="1:12">
      <c r="A655" s="1092"/>
      <c r="B655" s="2017"/>
      <c r="C655" s="2002" t="s">
        <v>1943</v>
      </c>
      <c r="D655" s="2003" t="s">
        <v>190</v>
      </c>
      <c r="E655" s="2004">
        <v>150</v>
      </c>
      <c r="F655" s="2003">
        <v>1</v>
      </c>
      <c r="G655" s="2004">
        <v>100</v>
      </c>
      <c r="H655" s="2154">
        <v>367.76363636363629</v>
      </c>
      <c r="I655" s="2115">
        <f>H655-H655*$I$629</f>
        <v>268.46745454545447</v>
      </c>
      <c r="J655" s="2103">
        <f>H655*0.8</f>
        <v>294.21090909090907</v>
      </c>
      <c r="K655" s="1921"/>
    </row>
    <row r="656" spans="1:12">
      <c r="A656" s="1092"/>
      <c r="B656" s="2017"/>
      <c r="C656" s="2015"/>
      <c r="D656" s="2015"/>
      <c r="E656" s="2015"/>
      <c r="F656" s="2015"/>
      <c r="G656" s="2015"/>
      <c r="H656" s="2162"/>
      <c r="I656" s="2075"/>
      <c r="J656" s="1984"/>
      <c r="K656" s="1921"/>
    </row>
    <row r="657" spans="1:12" ht="15.75" thickBot="1">
      <c r="A657" s="1092"/>
      <c r="B657" s="2013" t="s">
        <v>979</v>
      </c>
      <c r="C657" s="2015"/>
      <c r="D657" s="2014" t="s">
        <v>982</v>
      </c>
      <c r="E657" s="2015"/>
      <c r="F657" s="2015"/>
      <c r="G657" s="2015"/>
      <c r="H657" s="2162"/>
      <c r="I657" s="2075"/>
      <c r="J657" s="1984"/>
      <c r="K657" s="1921"/>
    </row>
    <row r="658" spans="1:12" ht="15.75" thickBot="1">
      <c r="A658" s="1092"/>
      <c r="B658" s="2017"/>
      <c r="C658" s="2005" t="s">
        <v>10</v>
      </c>
      <c r="D658" s="2006" t="s">
        <v>11</v>
      </c>
      <c r="E658" s="2006" t="s">
        <v>12</v>
      </c>
      <c r="F658" s="2006" t="s">
        <v>13</v>
      </c>
      <c r="G658" s="2006" t="s">
        <v>14</v>
      </c>
      <c r="H658" s="2140" t="s">
        <v>1835</v>
      </c>
      <c r="I658" s="2008">
        <f>$G$17</f>
        <v>0.27</v>
      </c>
      <c r="J658" s="2007" t="s">
        <v>1834</v>
      </c>
      <c r="K658" s="1921"/>
    </row>
    <row r="659" spans="1:12">
      <c r="A659" s="1092"/>
      <c r="B659" s="2017"/>
      <c r="C659" s="2002" t="s">
        <v>1946</v>
      </c>
      <c r="D659" s="2003" t="s">
        <v>190</v>
      </c>
      <c r="E659" s="2004">
        <v>170</v>
      </c>
      <c r="F659" s="2003">
        <v>1</v>
      </c>
      <c r="G659" s="2004">
        <v>120</v>
      </c>
      <c r="H659" s="2154">
        <v>436.36363636363632</v>
      </c>
      <c r="I659" s="2115">
        <f>H659-H659*$I$654</f>
        <v>318.5454545454545</v>
      </c>
      <c r="J659" s="2103">
        <f>H659*0.8</f>
        <v>349.09090909090907</v>
      </c>
      <c r="K659" s="1921"/>
    </row>
    <row r="660" spans="1:12">
      <c r="A660" s="1092"/>
      <c r="B660" s="2017"/>
      <c r="C660" s="1999" t="s">
        <v>1944</v>
      </c>
      <c r="D660" s="2000" t="s">
        <v>192</v>
      </c>
      <c r="E660" s="2001">
        <v>175</v>
      </c>
      <c r="F660" s="2000">
        <v>1</v>
      </c>
      <c r="G660" s="2001">
        <v>120</v>
      </c>
      <c r="H660" s="2155">
        <v>572.72727272727263</v>
      </c>
      <c r="I660" s="2115">
        <f>H660-H660*$I$654</f>
        <v>418.09090909090901</v>
      </c>
      <c r="J660" s="2104">
        <f>H660*0.8</f>
        <v>458.18181818181813</v>
      </c>
      <c r="K660" s="1921"/>
    </row>
    <row r="661" spans="1:12">
      <c r="A661" s="1092"/>
      <c r="B661" s="2017"/>
      <c r="C661" s="2015"/>
      <c r="D661" s="2015"/>
      <c r="E661" s="2015"/>
      <c r="F661" s="2015"/>
      <c r="G661" s="2015"/>
      <c r="H661" s="2016"/>
      <c r="I661" s="2075"/>
      <c r="J661" s="1984"/>
      <c r="K661" s="1921"/>
    </row>
    <row r="662" spans="1:12">
      <c r="A662" s="1092"/>
      <c r="B662" s="2036" t="s">
        <v>851</v>
      </c>
      <c r="C662" s="1983"/>
      <c r="D662" s="1982" t="s">
        <v>852</v>
      </c>
      <c r="E662" s="1983"/>
      <c r="F662" s="1983"/>
      <c r="G662" s="2014"/>
      <c r="H662" s="2016"/>
      <c r="I662" s="2075"/>
      <c r="J662" s="1984"/>
      <c r="K662" s="1921"/>
    </row>
    <row r="663" spans="1:12" ht="15.75" thickBot="1">
      <c r="A663" s="1092"/>
      <c r="B663" s="1985"/>
      <c r="C663" s="1982"/>
      <c r="D663" s="1983" t="s">
        <v>853</v>
      </c>
      <c r="E663" s="1983"/>
      <c r="F663" s="1983"/>
      <c r="G663" s="2015"/>
      <c r="H663" s="1984"/>
      <c r="I663" s="2075"/>
      <c r="J663" s="1984"/>
      <c r="K663" s="1921"/>
    </row>
    <row r="664" spans="1:12" ht="15.75" thickBot="1">
      <c r="A664" s="1092"/>
      <c r="B664" s="1985"/>
      <c r="C664" s="2005" t="s">
        <v>10</v>
      </c>
      <c r="D664" s="2006" t="s">
        <v>11</v>
      </c>
      <c r="E664" s="2006" t="s">
        <v>12</v>
      </c>
      <c r="F664" s="2006" t="s">
        <v>13</v>
      </c>
      <c r="G664" s="2006" t="s">
        <v>14</v>
      </c>
      <c r="H664" s="2007" t="s">
        <v>1835</v>
      </c>
      <c r="I664" s="2008">
        <f>$G$17</f>
        <v>0.27</v>
      </c>
      <c r="J664" s="2007" t="s">
        <v>1834</v>
      </c>
      <c r="K664" s="1921"/>
    </row>
    <row r="665" spans="1:12">
      <c r="A665" s="1092"/>
      <c r="B665" s="1985"/>
      <c r="C665" s="2002" t="s">
        <v>1945</v>
      </c>
      <c r="D665" s="2003" t="s">
        <v>190</v>
      </c>
      <c r="E665" s="2004">
        <v>45</v>
      </c>
      <c r="F665" s="2003">
        <v>70</v>
      </c>
      <c r="G665" s="2004">
        <v>560</v>
      </c>
      <c r="H665" s="2154">
        <v>118.18</v>
      </c>
      <c r="I665" s="2115">
        <f>H665-H665*$I$654</f>
        <v>86.2714</v>
      </c>
      <c r="J665" s="2103">
        <f>H665*0.8</f>
        <v>94.544000000000011</v>
      </c>
      <c r="K665" s="1921"/>
    </row>
    <row r="666" spans="1:12">
      <c r="A666" s="1092"/>
      <c r="B666" s="2017"/>
      <c r="C666" s="2015"/>
      <c r="D666" s="2015"/>
      <c r="E666" s="2015"/>
      <c r="F666" s="2015"/>
      <c r="G666" s="2015"/>
      <c r="H666" s="2016"/>
      <c r="I666" s="2075"/>
      <c r="J666" s="1984"/>
      <c r="K666" s="1921"/>
    </row>
    <row r="667" spans="1:12">
      <c r="A667" s="1092"/>
      <c r="B667" s="2017"/>
      <c r="C667" s="2015"/>
      <c r="D667" s="2015"/>
      <c r="E667" s="2015"/>
      <c r="F667" s="2015"/>
      <c r="G667" s="2015"/>
      <c r="H667" s="2016"/>
      <c r="I667" s="2075"/>
      <c r="J667" s="1984"/>
      <c r="K667" s="1921"/>
    </row>
    <row r="668" spans="1:12" ht="18.75">
      <c r="A668" s="1092"/>
      <c r="B668" s="1994" t="s">
        <v>2011</v>
      </c>
      <c r="C668" s="2083"/>
      <c r="D668" s="2083"/>
      <c r="E668" s="2083"/>
      <c r="F668" s="2083"/>
      <c r="G668" s="2083"/>
      <c r="H668" s="2079"/>
      <c r="I668" s="2077"/>
      <c r="J668" s="1995"/>
      <c r="K668" s="1921"/>
    </row>
    <row r="669" spans="1:12" s="1340" customFormat="1">
      <c r="A669" s="1945"/>
      <c r="B669" s="2034" t="s">
        <v>1</v>
      </c>
      <c r="C669" s="2022"/>
      <c r="D669" s="2022"/>
      <c r="E669" s="2022"/>
      <c r="F669" s="2022"/>
      <c r="G669" s="2022"/>
      <c r="H669" s="2025"/>
      <c r="I669" s="2078"/>
      <c r="J669" s="1965" t="s">
        <v>1649</v>
      </c>
      <c r="K669" s="1921"/>
      <c r="L669" s="1920"/>
    </row>
    <row r="670" spans="1:12" s="1340" customFormat="1" ht="25.5" customHeight="1">
      <c r="A670" s="1945"/>
      <c r="B670" s="2191" t="s">
        <v>1806</v>
      </c>
      <c r="C670" s="2191"/>
      <c r="D670" s="2191"/>
      <c r="E670" s="2191"/>
      <c r="F670" s="2191"/>
      <c r="G670" s="2191"/>
      <c r="H670" s="2191"/>
      <c r="I670" s="2191"/>
      <c r="J670" s="2191"/>
      <c r="K670" s="1921"/>
      <c r="L670" s="1920"/>
    </row>
    <row r="671" spans="1:12" s="1340" customFormat="1">
      <c r="A671" s="1945"/>
      <c r="B671" s="2034" t="s">
        <v>2</v>
      </c>
      <c r="C671" s="2022"/>
      <c r="D671" s="2082"/>
      <c r="E671" s="2022"/>
      <c r="F671" s="2082"/>
      <c r="G671" s="2022"/>
      <c r="H671" s="2084"/>
      <c r="I671" s="2078"/>
      <c r="J671" s="1965" t="s">
        <v>1649</v>
      </c>
      <c r="K671" s="1921"/>
      <c r="L671" s="1920"/>
    </row>
    <row r="672" spans="1:12" s="1340" customFormat="1">
      <c r="A672" s="1945"/>
      <c r="B672" s="2206" t="s">
        <v>117</v>
      </c>
      <c r="C672" s="2206"/>
      <c r="D672" s="2206"/>
      <c r="E672" s="2206"/>
      <c r="F672" s="2206"/>
      <c r="G672" s="2206"/>
      <c r="H672" s="2206"/>
      <c r="I672" s="2078"/>
      <c r="J672" s="1965" t="s">
        <v>1649</v>
      </c>
      <c r="K672" s="1921"/>
      <c r="L672" s="1920"/>
    </row>
    <row r="673" spans="1:12" s="1340" customFormat="1">
      <c r="A673" s="1945"/>
      <c r="B673" s="2037" t="s">
        <v>1853</v>
      </c>
      <c r="C673" s="2022"/>
      <c r="D673" s="2022"/>
      <c r="E673" s="2022"/>
      <c r="F673" s="2022"/>
      <c r="G673" s="2022"/>
      <c r="H673" s="2025"/>
      <c r="I673" s="2078"/>
      <c r="J673" s="1965" t="s">
        <v>1649</v>
      </c>
      <c r="K673" s="1921"/>
      <c r="L673" s="1920"/>
    </row>
    <row r="674" spans="1:12" s="1340" customFormat="1">
      <c r="A674" s="1945"/>
      <c r="B674" s="2037"/>
      <c r="C674" s="2022"/>
      <c r="D674" s="2022"/>
      <c r="E674" s="2022"/>
      <c r="F674" s="2022"/>
      <c r="G674" s="2022"/>
      <c r="H674" s="2025"/>
      <c r="I674" s="2078"/>
      <c r="J674" s="1965"/>
      <c r="K674" s="1921"/>
      <c r="L674" s="1920"/>
    </row>
    <row r="675" spans="1:12">
      <c r="A675" s="1092"/>
      <c r="B675" s="2038" t="s">
        <v>684</v>
      </c>
      <c r="C675" s="2014"/>
      <c r="D675" s="1982" t="s">
        <v>685</v>
      </c>
      <c r="E675" s="1983"/>
      <c r="F675" s="1983"/>
      <c r="G675" s="2015"/>
      <c r="H675" s="2016"/>
      <c r="I675" s="2075"/>
      <c r="J675" s="1984"/>
      <c r="K675" s="1921"/>
    </row>
    <row r="676" spans="1:12" ht="12.75" customHeight="1" thickBot="1">
      <c r="A676" s="1092"/>
      <c r="B676" s="1092"/>
      <c r="C676" s="2015"/>
      <c r="D676" s="2015" t="s">
        <v>699</v>
      </c>
      <c r="E676" s="2015"/>
      <c r="F676" s="2015"/>
      <c r="G676" s="2015"/>
      <c r="H676" s="2016"/>
      <c r="I676" s="2075"/>
      <c r="J676" s="1984"/>
      <c r="K676" s="1921"/>
    </row>
    <row r="677" spans="1:12" ht="12.75" customHeight="1" thickBot="1">
      <c r="A677" s="1092"/>
      <c r="B677" s="2017"/>
      <c r="C677" s="2005" t="s">
        <v>10</v>
      </c>
      <c r="D677" s="2006" t="s">
        <v>11</v>
      </c>
      <c r="E677" s="2006" t="s">
        <v>12</v>
      </c>
      <c r="F677" s="2006" t="s">
        <v>13</v>
      </c>
      <c r="G677" s="2006" t="s">
        <v>14</v>
      </c>
      <c r="H677" s="2007" t="s">
        <v>1835</v>
      </c>
      <c r="I677" s="2008">
        <f>$G$17</f>
        <v>0.27</v>
      </c>
      <c r="J677" s="2007" t="s">
        <v>1834</v>
      </c>
      <c r="K677" s="1921"/>
    </row>
    <row r="678" spans="1:12" ht="15.75" customHeight="1">
      <c r="A678" s="1092"/>
      <c r="B678" s="2017"/>
      <c r="C678" s="2002" t="s">
        <v>1947</v>
      </c>
      <c r="D678" s="2003" t="s">
        <v>689</v>
      </c>
      <c r="E678" s="2004">
        <v>125</v>
      </c>
      <c r="F678" s="2003">
        <v>1</v>
      </c>
      <c r="G678" s="2004">
        <v>108</v>
      </c>
      <c r="H678" s="2154">
        <v>514.5454545454545</v>
      </c>
      <c r="I678" s="2115">
        <f>H678-H678*$I$654</f>
        <v>375.61818181818177</v>
      </c>
      <c r="J678" s="2103">
        <f>H678*0.8</f>
        <v>411.63636363636363</v>
      </c>
      <c r="K678" s="1921"/>
    </row>
    <row r="679" spans="1:12">
      <c r="A679" s="1092"/>
      <c r="B679" s="2017"/>
      <c r="C679" s="1999" t="s">
        <v>1948</v>
      </c>
      <c r="D679" s="2000" t="s">
        <v>691</v>
      </c>
      <c r="E679" s="2001">
        <v>125</v>
      </c>
      <c r="F679" s="2000">
        <v>1</v>
      </c>
      <c r="G679" s="2001">
        <v>108</v>
      </c>
      <c r="H679" s="2155">
        <v>574.5454545454545</v>
      </c>
      <c r="I679" s="2115">
        <f>H679-H679*$I$654</f>
        <v>419.41818181818178</v>
      </c>
      <c r="J679" s="2104">
        <f>H679*0.8</f>
        <v>459.63636363636363</v>
      </c>
      <c r="K679" s="1921"/>
    </row>
    <row r="680" spans="1:12">
      <c r="A680" s="1092"/>
      <c r="B680" s="2017"/>
      <c r="C680" s="1996"/>
      <c r="D680" s="2020"/>
      <c r="E680" s="2021"/>
      <c r="F680" s="2020"/>
      <c r="G680" s="2021"/>
      <c r="H680" s="1997"/>
      <c r="I680" s="2075"/>
      <c r="J680" s="1984"/>
      <c r="K680" s="1921"/>
    </row>
    <row r="681" spans="1:12">
      <c r="A681" s="1092"/>
      <c r="B681" s="2017"/>
      <c r="C681" s="1996"/>
      <c r="D681" s="2020"/>
      <c r="E681" s="2021"/>
      <c r="F681" s="2020"/>
      <c r="G681" s="2021"/>
      <c r="H681" s="1997"/>
      <c r="I681" s="2075"/>
      <c r="J681" s="1984"/>
      <c r="K681" s="1921"/>
    </row>
    <row r="682" spans="1:12" ht="18.75">
      <c r="A682" s="1092"/>
      <c r="B682" s="1994" t="s">
        <v>2012</v>
      </c>
      <c r="C682" s="1973"/>
      <c r="D682" s="1944"/>
      <c r="E682" s="1983"/>
      <c r="F682" s="1983"/>
      <c r="G682" s="2052"/>
      <c r="H682" s="1984"/>
      <c r="I682" s="1947"/>
      <c r="J682" s="1995"/>
      <c r="K682" s="1921"/>
    </row>
    <row r="683" spans="1:12" s="1340" customFormat="1">
      <c r="A683" s="1945"/>
      <c r="B683" s="1974" t="s">
        <v>1</v>
      </c>
      <c r="C683" s="1945"/>
      <c r="D683" s="1945"/>
      <c r="E683" s="1945"/>
      <c r="F683" s="1976"/>
      <c r="G683" s="1945" t="s">
        <v>973</v>
      </c>
      <c r="H683" s="1965"/>
      <c r="I683" s="1966"/>
      <c r="J683" s="1965" t="s">
        <v>1649</v>
      </c>
      <c r="K683" s="1921"/>
      <c r="L683" s="1920"/>
    </row>
    <row r="684" spans="1:12" s="1340" customFormat="1" ht="39" customHeight="1">
      <c r="A684" s="1945"/>
      <c r="B684" s="2192" t="s">
        <v>842</v>
      </c>
      <c r="C684" s="2192"/>
      <c r="D684" s="2192"/>
      <c r="E684" s="2192"/>
      <c r="F684" s="2192"/>
      <c r="G684" s="2192"/>
      <c r="H684" s="2192"/>
      <c r="I684" s="2192"/>
      <c r="J684" s="2192"/>
      <c r="K684" s="1921"/>
      <c r="L684" s="1920"/>
    </row>
    <row r="685" spans="1:12" s="1340" customFormat="1">
      <c r="A685" s="1945"/>
      <c r="B685" s="1974" t="s">
        <v>2</v>
      </c>
      <c r="C685" s="1945"/>
      <c r="D685" s="1945"/>
      <c r="E685" s="1945"/>
      <c r="F685" s="1976"/>
      <c r="G685" s="1945"/>
      <c r="H685" s="1965"/>
      <c r="I685" s="1966"/>
      <c r="J685" s="1965" t="s">
        <v>1649</v>
      </c>
      <c r="K685" s="1921"/>
      <c r="L685" s="1920"/>
    </row>
    <row r="686" spans="1:12" s="1340" customFormat="1">
      <c r="A686" s="1945"/>
      <c r="B686" s="2029" t="s">
        <v>843</v>
      </c>
      <c r="C686" s="1975"/>
      <c r="D686" s="1945"/>
      <c r="E686" s="1945"/>
      <c r="F686" s="1976"/>
      <c r="G686" s="1945"/>
      <c r="H686" s="1965"/>
      <c r="I686" s="1966"/>
      <c r="J686" s="1965" t="s">
        <v>1649</v>
      </c>
      <c r="K686" s="1921"/>
      <c r="L686" s="1920"/>
    </row>
    <row r="687" spans="1:12" s="1340" customFormat="1">
      <c r="A687" s="1945"/>
      <c r="B687" s="2201" t="s">
        <v>844</v>
      </c>
      <c r="C687" s="2201"/>
      <c r="D687" s="2201"/>
      <c r="E687" s="2201"/>
      <c r="F687" s="2201"/>
      <c r="G687" s="2201"/>
      <c r="H687" s="2201"/>
      <c r="I687" s="1966"/>
      <c r="J687" s="1965" t="s">
        <v>1649</v>
      </c>
      <c r="K687" s="1921"/>
      <c r="L687" s="1920"/>
    </row>
    <row r="688" spans="1:12" s="1340" customFormat="1">
      <c r="A688" s="1945"/>
      <c r="B688" s="2201" t="s">
        <v>767</v>
      </c>
      <c r="C688" s="2201"/>
      <c r="D688" s="2201"/>
      <c r="E688" s="2201"/>
      <c r="F688" s="2201"/>
      <c r="G688" s="2201"/>
      <c r="H688" s="2201"/>
      <c r="I688" s="1966"/>
      <c r="J688" s="1965" t="s">
        <v>1649</v>
      </c>
      <c r="K688" s="1921"/>
      <c r="L688" s="1920"/>
    </row>
    <row r="689" spans="1:12">
      <c r="A689" s="1092"/>
      <c r="B689" s="1981" t="s">
        <v>845</v>
      </c>
      <c r="C689" s="1092"/>
      <c r="D689" s="1991" t="s">
        <v>1949</v>
      </c>
      <c r="E689" s="1991"/>
      <c r="F689" s="1991"/>
      <c r="G689" s="1991"/>
      <c r="H689" s="1984"/>
      <c r="I689" s="1947"/>
      <c r="J689" s="1946"/>
      <c r="K689" s="1921"/>
    </row>
    <row r="690" spans="1:12">
      <c r="A690" s="1092"/>
      <c r="B690" s="1985"/>
      <c r="C690" s="1982"/>
      <c r="D690" s="1983" t="s">
        <v>31</v>
      </c>
      <c r="E690" s="1983"/>
      <c r="F690" s="1983"/>
      <c r="G690" s="2076"/>
      <c r="H690" s="1984"/>
      <c r="I690" s="1947"/>
      <c r="J690" s="1946" t="s">
        <v>1649</v>
      </c>
      <c r="K690" s="1921"/>
    </row>
    <row r="691" spans="1:12" s="1340" customFormat="1" ht="12.75" customHeight="1">
      <c r="A691" s="1945"/>
      <c r="B691" s="1975" t="s">
        <v>5</v>
      </c>
      <c r="C691" s="1945"/>
      <c r="D691" s="1945"/>
      <c r="E691" s="1945"/>
      <c r="F691" s="1976"/>
      <c r="G691" s="1945"/>
      <c r="H691" s="2025"/>
      <c r="I691" s="1966"/>
      <c r="J691" s="1965"/>
      <c r="K691" s="1921"/>
      <c r="L691" s="1920"/>
    </row>
    <row r="692" spans="1:12" s="1340" customFormat="1" ht="12.75" customHeight="1">
      <c r="A692" s="1945"/>
      <c r="B692" s="2040" t="s">
        <v>846</v>
      </c>
      <c r="C692" s="2040"/>
      <c r="D692" s="2040"/>
      <c r="E692" s="1945"/>
      <c r="F692" s="1976"/>
      <c r="G692" s="1945"/>
      <c r="H692" s="2025"/>
      <c r="I692" s="1966"/>
      <c r="J692" s="1965"/>
      <c r="K692" s="1921"/>
      <c r="L692" s="1920"/>
    </row>
    <row r="693" spans="1:12" s="1340" customFormat="1" ht="12.75" customHeight="1">
      <c r="A693" s="1945"/>
      <c r="B693" s="2040" t="s">
        <v>847</v>
      </c>
      <c r="C693" s="2040"/>
      <c r="D693" s="2040"/>
      <c r="E693" s="2040"/>
      <c r="F693" s="2040"/>
      <c r="G693" s="1945"/>
      <c r="H693" s="2025"/>
      <c r="I693" s="1966"/>
      <c r="J693" s="1965"/>
      <c r="K693" s="1921"/>
      <c r="L693" s="1920"/>
    </row>
    <row r="694" spans="1:12" s="1340" customFormat="1" ht="12.75" customHeight="1">
      <c r="A694" s="1945"/>
      <c r="B694" s="2196" t="s">
        <v>788</v>
      </c>
      <c r="C694" s="2196"/>
      <c r="D694" s="2196"/>
      <c r="E694" s="2196"/>
      <c r="F694" s="1976"/>
      <c r="G694" s="1945"/>
      <c r="H694" s="2025"/>
      <c r="I694" s="1966"/>
      <c r="J694" s="1965"/>
      <c r="K694" s="1921"/>
      <c r="L694" s="1920"/>
    </row>
    <row r="695" spans="1:12" s="1340" customFormat="1" ht="12.75" customHeight="1" thickBot="1">
      <c r="A695" s="1945"/>
      <c r="B695" s="1978" t="s">
        <v>789</v>
      </c>
      <c r="C695" s="1979"/>
      <c r="D695" s="1945"/>
      <c r="E695" s="1945"/>
      <c r="F695" s="1976"/>
      <c r="G695" s="1945"/>
      <c r="H695" s="2025"/>
      <c r="I695" s="1966"/>
      <c r="J695" s="1965"/>
      <c r="K695" s="1921"/>
      <c r="L695" s="1920"/>
    </row>
    <row r="696" spans="1:12" ht="15" customHeight="1" thickBot="1">
      <c r="A696" s="1092"/>
      <c r="B696" s="2026"/>
      <c r="C696" s="2005" t="s">
        <v>10</v>
      </c>
      <c r="D696" s="2006" t="s">
        <v>11</v>
      </c>
      <c r="E696" s="2006" t="s">
        <v>12</v>
      </c>
      <c r="F696" s="2006" t="s">
        <v>13</v>
      </c>
      <c r="G696" s="2006" t="s">
        <v>14</v>
      </c>
      <c r="H696" s="2007" t="s">
        <v>1835</v>
      </c>
      <c r="I696" s="2008">
        <f>$G$17</f>
        <v>0.27</v>
      </c>
      <c r="J696" s="2007" t="s">
        <v>1834</v>
      </c>
      <c r="K696" s="1921"/>
    </row>
    <row r="697" spans="1:12" ht="14.45" customHeight="1">
      <c r="A697" s="1092"/>
      <c r="B697" s="2026"/>
      <c r="C697" s="2002" t="s">
        <v>1950</v>
      </c>
      <c r="D697" s="2003" t="s">
        <v>190</v>
      </c>
      <c r="E697" s="2004">
        <v>650</v>
      </c>
      <c r="F697" s="2003">
        <v>4</v>
      </c>
      <c r="G697" s="2004">
        <v>20</v>
      </c>
      <c r="H697" s="2154">
        <v>927.27272727272725</v>
      </c>
      <c r="I697" s="2115">
        <f>H697-H697*$I$696</f>
        <v>676.90909090909088</v>
      </c>
      <c r="J697" s="2103">
        <f>H697*0.8</f>
        <v>741.81818181818187</v>
      </c>
      <c r="K697" s="1921"/>
    </row>
    <row r="698" spans="1:12">
      <c r="A698" s="1092"/>
      <c r="B698"/>
      <c r="C698" s="1999" t="s">
        <v>1951</v>
      </c>
      <c r="D698" s="2000" t="s">
        <v>192</v>
      </c>
      <c r="E698" s="2001">
        <v>670</v>
      </c>
      <c r="F698" s="2000">
        <v>4</v>
      </c>
      <c r="G698" s="2001">
        <v>20</v>
      </c>
      <c r="H698" s="2155">
        <v>1109.090909090909</v>
      </c>
      <c r="I698" s="2115">
        <f>H698-H698*$I$696</f>
        <v>809.63636363636351</v>
      </c>
      <c r="J698" s="2104">
        <f>H698*0.8</f>
        <v>887.27272727272725</v>
      </c>
      <c r="K698" s="1921"/>
    </row>
    <row r="699" spans="1:12">
      <c r="A699" s="1092"/>
      <c r="B699"/>
      <c r="C699" s="2113"/>
      <c r="D699" s="1996"/>
      <c r="E699" s="814"/>
      <c r="F699" s="1996"/>
      <c r="G699" s="814"/>
      <c r="H699" s="1997"/>
      <c r="I699"/>
      <c r="J699" s="2114"/>
      <c r="K699" s="1921"/>
    </row>
    <row r="700" spans="1:12">
      <c r="A700" s="1092"/>
      <c r="B700" s="1985"/>
      <c r="C700" s="1092"/>
      <c r="D700" s="2048"/>
      <c r="E700" s="814"/>
      <c r="F700" s="1996"/>
      <c r="G700" s="415"/>
      <c r="H700" s="2089"/>
      <c r="I700" s="1947"/>
      <c r="J700" s="1946" t="s">
        <v>1649</v>
      </c>
      <c r="K700" s="1921"/>
    </row>
    <row r="701" spans="1:12" ht="18.75">
      <c r="A701" s="1092"/>
      <c r="B701" s="1994" t="s">
        <v>2013</v>
      </c>
      <c r="C701" s="1973"/>
      <c r="D701" s="1973"/>
      <c r="E701" s="1983"/>
      <c r="F701" s="1983"/>
      <c r="G701" s="1945"/>
      <c r="H701" s="1984"/>
      <c r="I701" s="1947"/>
      <c r="J701" s="1995" t="s">
        <v>1780</v>
      </c>
      <c r="K701" s="1921"/>
    </row>
    <row r="702" spans="1:12" s="1340" customFormat="1">
      <c r="A702" s="1945"/>
      <c r="B702" s="1974" t="s">
        <v>1</v>
      </c>
      <c r="C702" s="1945"/>
      <c r="D702" s="1945"/>
      <c r="E702" s="1945"/>
      <c r="F702" s="1976"/>
      <c r="G702" s="1964"/>
      <c r="H702" s="1977"/>
      <c r="I702" s="1966"/>
      <c r="J702" s="1965" t="s">
        <v>1649</v>
      </c>
      <c r="K702" s="1921"/>
      <c r="L702" s="1920"/>
    </row>
    <row r="703" spans="1:12" s="1340" customFormat="1" ht="24.75" customHeight="1">
      <c r="A703" s="1945"/>
      <c r="B703" s="2192" t="s">
        <v>1804</v>
      </c>
      <c r="C703" s="2192"/>
      <c r="D703" s="2192"/>
      <c r="E703" s="2192"/>
      <c r="F703" s="2192"/>
      <c r="G703" s="2192"/>
      <c r="H703" s="2192"/>
      <c r="I703" s="2192"/>
      <c r="J703" s="2192"/>
      <c r="K703" s="1921"/>
      <c r="L703" s="1920"/>
    </row>
    <row r="704" spans="1:12" s="1340" customFormat="1" ht="12.75" customHeight="1">
      <c r="A704" s="1945"/>
      <c r="B704" s="1974" t="s">
        <v>5</v>
      </c>
      <c r="C704" s="1945"/>
      <c r="D704" s="1945"/>
      <c r="E704" s="1945"/>
      <c r="F704" s="1976"/>
      <c r="G704" s="1945"/>
      <c r="H704" s="1965"/>
      <c r="I704" s="1966"/>
      <c r="J704" s="1965" t="s">
        <v>1649</v>
      </c>
      <c r="K704" s="1921"/>
      <c r="L704" s="1920"/>
    </row>
    <row r="705" spans="1:12" s="1340" customFormat="1" ht="12.75" customHeight="1">
      <c r="A705" s="1945"/>
      <c r="B705" s="2196" t="s">
        <v>1857</v>
      </c>
      <c r="C705" s="2196"/>
      <c r="D705" s="2196"/>
      <c r="E705" s="1945"/>
      <c r="F705" s="1976"/>
      <c r="G705" s="1945"/>
      <c r="H705" s="1965"/>
      <c r="I705" s="1966"/>
      <c r="J705" s="1965" t="s">
        <v>1649</v>
      </c>
      <c r="K705" s="1921"/>
      <c r="L705" s="1920"/>
    </row>
    <row r="706" spans="1:12" s="1340" customFormat="1" ht="12.75" customHeight="1">
      <c r="A706" s="1945"/>
      <c r="B706" s="2196" t="s">
        <v>786</v>
      </c>
      <c r="C706" s="2196"/>
      <c r="D706" s="2196"/>
      <c r="E706" s="2196"/>
      <c r="F706" s="2196"/>
      <c r="G706" s="2011"/>
      <c r="H706" s="2074"/>
      <c r="I706" s="1966"/>
      <c r="J706" s="1965" t="s">
        <v>1649</v>
      </c>
      <c r="K706" s="1921"/>
      <c r="L706" s="1920"/>
    </row>
    <row r="707" spans="1:12" s="1340" customFormat="1" ht="12.75" customHeight="1">
      <c r="A707" s="1945"/>
      <c r="B707" s="2029" t="s">
        <v>1955</v>
      </c>
      <c r="C707" s="1979"/>
      <c r="D707" s="1945"/>
      <c r="E707" s="1945"/>
      <c r="F707" s="1976"/>
      <c r="G707" s="1945"/>
      <c r="H707" s="1965"/>
      <c r="I707" s="1966"/>
      <c r="J707" s="1965" t="s">
        <v>1649</v>
      </c>
      <c r="K707" s="1921"/>
      <c r="L707" s="1920"/>
    </row>
    <row r="708" spans="1:12" ht="14.25" customHeight="1">
      <c r="A708" s="1092"/>
      <c r="B708" s="2013" t="s">
        <v>739</v>
      </c>
      <c r="C708" s="1092"/>
      <c r="D708" s="1988" t="s">
        <v>776</v>
      </c>
      <c r="E708" s="1983"/>
      <c r="F708" s="814"/>
      <c r="G708" s="814"/>
      <c r="H708" s="1998"/>
      <c r="I708" s="2075"/>
      <c r="J708" s="1984"/>
      <c r="K708" s="1921"/>
    </row>
    <row r="709" spans="1:12" ht="15" customHeight="1" thickBot="1">
      <c r="A709" s="1092"/>
      <c r="B709" s="2017"/>
      <c r="C709" s="2054"/>
      <c r="D709" s="1983" t="s">
        <v>31</v>
      </c>
      <c r="E709" s="1983"/>
      <c r="F709" s="1983"/>
      <c r="G709" s="814"/>
      <c r="H709" s="1998"/>
      <c r="I709" s="2075"/>
      <c r="J709" s="1984" t="s">
        <v>1649</v>
      </c>
      <c r="K709" s="1921"/>
    </row>
    <row r="710" spans="1:12" ht="15.75" thickBot="1">
      <c r="A710" s="1092"/>
      <c r="B710" s="2017"/>
      <c r="C710" s="2005" t="s">
        <v>10</v>
      </c>
      <c r="D710" s="2006" t="s">
        <v>11</v>
      </c>
      <c r="E710" s="2006" t="s">
        <v>12</v>
      </c>
      <c r="F710" s="2006" t="s">
        <v>13</v>
      </c>
      <c r="G710" s="2006" t="s">
        <v>14</v>
      </c>
      <c r="H710" s="2007" t="s">
        <v>1835</v>
      </c>
      <c r="I710" s="2008">
        <f>$G$17</f>
        <v>0.27</v>
      </c>
      <c r="J710" s="2007" t="s">
        <v>1834</v>
      </c>
      <c r="K710" s="1921"/>
    </row>
    <row r="711" spans="1:12" ht="16.149999999999999" customHeight="1">
      <c r="A711" s="1092"/>
      <c r="B711" s="2017"/>
      <c r="C711" s="2002" t="s">
        <v>1760</v>
      </c>
      <c r="D711" s="2003" t="s">
        <v>190</v>
      </c>
      <c r="E711" s="2004">
        <v>620</v>
      </c>
      <c r="F711" s="2003">
        <v>1</v>
      </c>
      <c r="G711" s="2004">
        <v>12</v>
      </c>
      <c r="H711" s="2154">
        <v>1372.3636363636363</v>
      </c>
      <c r="I711" s="2115">
        <f>H711-H711*$I$696</f>
        <v>1001.8254545454545</v>
      </c>
      <c r="J711" s="2103">
        <f>H711*0.8</f>
        <v>1097.890909090909</v>
      </c>
      <c r="K711" s="1921"/>
    </row>
    <row r="712" spans="1:12" ht="16.149999999999999" customHeight="1">
      <c r="A712" s="1092"/>
      <c r="B712" s="2017"/>
      <c r="C712" s="1999" t="s">
        <v>1761</v>
      </c>
      <c r="D712" s="2000" t="s">
        <v>192</v>
      </c>
      <c r="E712" s="2001">
        <v>650</v>
      </c>
      <c r="F712" s="2000">
        <v>1</v>
      </c>
      <c r="G712" s="2001">
        <v>12</v>
      </c>
      <c r="H712" s="2155">
        <v>1826.4909090909089</v>
      </c>
      <c r="I712" s="2115">
        <f>H712-H712*$I$696</f>
        <v>1333.3383636363635</v>
      </c>
      <c r="J712" s="2104">
        <f>H712*0.8</f>
        <v>1461.1927272727271</v>
      </c>
      <c r="K712" s="1921"/>
    </row>
    <row r="713" spans="1:12">
      <c r="A713" s="1092"/>
      <c r="B713" s="2017"/>
      <c r="C713" s="2002" t="s">
        <v>1762</v>
      </c>
      <c r="D713" s="2003" t="s">
        <v>194</v>
      </c>
      <c r="E713" s="2004">
        <v>700</v>
      </c>
      <c r="F713" s="2003">
        <v>1</v>
      </c>
      <c r="G713" s="2004">
        <v>12</v>
      </c>
      <c r="H713" s="2154">
        <v>1826.4909090909089</v>
      </c>
      <c r="I713" s="2115">
        <f>H713-H713*$I$696</f>
        <v>1333.3383636363635</v>
      </c>
      <c r="J713" s="2103">
        <f>H713*0.8</f>
        <v>1461.1927272727271</v>
      </c>
      <c r="K713" s="1921"/>
    </row>
    <row r="714" spans="1:12">
      <c r="A714" s="1092"/>
      <c r="B714" s="2017"/>
      <c r="C714" s="2054"/>
      <c r="D714" s="1996"/>
      <c r="E714" s="814"/>
      <c r="F714" s="1996"/>
      <c r="G714" s="814"/>
      <c r="H714" s="1998"/>
      <c r="I714" s="2075"/>
      <c r="J714" s="1984"/>
      <c r="K714" s="1921"/>
    </row>
    <row r="715" spans="1:12" ht="18.75">
      <c r="A715" s="1092"/>
      <c r="B715" s="1994" t="s">
        <v>2014</v>
      </c>
      <c r="C715" s="1973"/>
      <c r="D715" s="1973"/>
      <c r="E715" s="1973"/>
      <c r="F715" s="1983"/>
      <c r="G715" s="2076"/>
      <c r="H715" s="1984"/>
      <c r="I715" s="2077"/>
      <c r="J715" s="1995" t="s">
        <v>1780</v>
      </c>
      <c r="K715" s="1921"/>
    </row>
    <row r="716" spans="1:12" s="1340" customFormat="1">
      <c r="A716" s="1945"/>
      <c r="B716" s="1974" t="s">
        <v>1</v>
      </c>
      <c r="C716" s="1945"/>
      <c r="D716" s="1945"/>
      <c r="E716" s="1945"/>
      <c r="F716" s="1976"/>
      <c r="G716" s="1964"/>
      <c r="H716" s="1977"/>
      <c r="I716" s="2078"/>
      <c r="J716" s="1965" t="s">
        <v>1649</v>
      </c>
      <c r="K716" s="1921"/>
      <c r="L716" s="1920"/>
    </row>
    <row r="717" spans="1:12" s="1340" customFormat="1" ht="24.75" customHeight="1">
      <c r="A717" s="1945"/>
      <c r="B717" s="2192" t="s">
        <v>1818</v>
      </c>
      <c r="C717" s="2192"/>
      <c r="D717" s="2192"/>
      <c r="E717" s="2192"/>
      <c r="F717" s="2192"/>
      <c r="G717" s="2192"/>
      <c r="H717" s="2192"/>
      <c r="I717" s="2192"/>
      <c r="J717" s="2192"/>
      <c r="K717" s="1921"/>
      <c r="L717" s="1920"/>
    </row>
    <row r="718" spans="1:12" s="1340" customFormat="1">
      <c r="A718" s="1945"/>
      <c r="B718" s="1974" t="s">
        <v>2</v>
      </c>
      <c r="C718" s="1945"/>
      <c r="D718" s="1945"/>
      <c r="E718" s="1945"/>
      <c r="F718" s="1976"/>
      <c r="G718" s="2022"/>
      <c r="H718" s="1965"/>
      <c r="I718" s="2078"/>
      <c r="J718" s="1965" t="s">
        <v>1649</v>
      </c>
      <c r="K718" s="1921"/>
      <c r="L718" s="1920"/>
    </row>
    <row r="719" spans="1:12" s="1340" customFormat="1">
      <c r="A719" s="1945"/>
      <c r="B719" s="2029" t="s">
        <v>1819</v>
      </c>
      <c r="C719" s="1975"/>
      <c r="D719" s="1945"/>
      <c r="E719" s="1945"/>
      <c r="F719" s="1976"/>
      <c r="G719" s="2022"/>
      <c r="H719" s="1965"/>
      <c r="I719" s="2078"/>
      <c r="J719" s="1965" t="s">
        <v>1649</v>
      </c>
      <c r="K719" s="1921"/>
      <c r="L719" s="1920"/>
    </row>
    <row r="720" spans="1:12" s="1340" customFormat="1">
      <c r="A720" s="1945"/>
      <c r="B720" s="2024" t="s">
        <v>820</v>
      </c>
      <c r="C720" s="2011"/>
      <c r="D720" s="2011"/>
      <c r="E720" s="2011"/>
      <c r="F720" s="2011"/>
      <c r="G720" s="2022"/>
      <c r="H720" s="1965"/>
      <c r="I720" s="2078"/>
      <c r="J720" s="1965" t="s">
        <v>1649</v>
      </c>
      <c r="K720" s="1921"/>
      <c r="L720" s="1920"/>
    </row>
    <row r="721" spans="1:12" s="1340" customFormat="1">
      <c r="A721" s="1945"/>
      <c r="B721" s="2024" t="s">
        <v>821</v>
      </c>
      <c r="C721" s="2011"/>
      <c r="D721" s="2011"/>
      <c r="E721" s="2011"/>
      <c r="F721" s="2011"/>
      <c r="G721" s="2022"/>
      <c r="H721" s="1965"/>
      <c r="I721" s="2078"/>
      <c r="J721" s="1965" t="s">
        <v>1649</v>
      </c>
      <c r="K721" s="1921"/>
      <c r="L721" s="1920"/>
    </row>
    <row r="722" spans="1:12" s="1340" customFormat="1">
      <c r="A722" s="1945"/>
      <c r="B722" s="2024" t="s">
        <v>1820</v>
      </c>
      <c r="C722" s="2011"/>
      <c r="D722" s="2011"/>
      <c r="E722" s="2011"/>
      <c r="F722" s="2011"/>
      <c r="G722" s="2022"/>
      <c r="H722" s="1965"/>
      <c r="I722" s="2078"/>
      <c r="J722" s="1965" t="s">
        <v>1649</v>
      </c>
      <c r="K722" s="1921"/>
      <c r="L722" s="1920"/>
    </row>
    <row r="723" spans="1:12" s="1340" customFormat="1" ht="12.75" customHeight="1">
      <c r="A723" s="1945"/>
      <c r="B723" s="1974" t="s">
        <v>5</v>
      </c>
      <c r="C723" s="1945"/>
      <c r="D723" s="1945"/>
      <c r="E723" s="1945"/>
      <c r="F723" s="1976"/>
      <c r="G723" s="2022"/>
      <c r="H723" s="1965"/>
      <c r="I723" s="2078"/>
      <c r="J723" s="1965" t="s">
        <v>1649</v>
      </c>
      <c r="K723" s="1921"/>
      <c r="L723" s="1920"/>
    </row>
    <row r="724" spans="1:12" s="1340" customFormat="1" ht="12.75" customHeight="1">
      <c r="A724" s="1945"/>
      <c r="B724" s="2196" t="s">
        <v>846</v>
      </c>
      <c r="C724" s="2196"/>
      <c r="D724" s="2196"/>
      <c r="E724" s="1945"/>
      <c r="F724" s="1976"/>
      <c r="G724" s="2022"/>
      <c r="H724" s="1965"/>
      <c r="I724" s="2078"/>
      <c r="J724" s="1965" t="s">
        <v>1649</v>
      </c>
      <c r="K724" s="1921"/>
      <c r="L724" s="1920"/>
    </row>
    <row r="725" spans="1:12" s="1340" customFormat="1" ht="12.75" customHeight="1">
      <c r="A725" s="1945"/>
      <c r="B725" s="2196" t="s">
        <v>834</v>
      </c>
      <c r="C725" s="2196"/>
      <c r="D725" s="2196"/>
      <c r="E725" s="2196"/>
      <c r="F725" s="2196"/>
      <c r="G725" s="2011"/>
      <c r="H725" s="2074"/>
      <c r="I725" s="2078"/>
      <c r="J725" s="1965" t="s">
        <v>1649</v>
      </c>
      <c r="K725" s="1921"/>
      <c r="L725" s="1920"/>
    </row>
    <row r="726" spans="1:12" s="1340" customFormat="1" ht="12.75" customHeight="1">
      <c r="A726" s="1945"/>
      <c r="B726" s="2029" t="s">
        <v>824</v>
      </c>
      <c r="C726" s="1979"/>
      <c r="D726" s="1945"/>
      <c r="E726" s="1945"/>
      <c r="F726" s="1976"/>
      <c r="G726" s="2022"/>
      <c r="H726" s="1965"/>
      <c r="I726" s="2078"/>
      <c r="J726" s="1965" t="s">
        <v>1649</v>
      </c>
      <c r="K726" s="1921"/>
      <c r="L726" s="1920"/>
    </row>
    <row r="727" spans="1:12" s="1340" customFormat="1" ht="12.75" customHeight="1">
      <c r="A727" s="1945"/>
      <c r="B727" s="2029" t="s">
        <v>825</v>
      </c>
      <c r="C727" s="1979"/>
      <c r="D727" s="1945"/>
      <c r="E727" s="1945"/>
      <c r="F727" s="1976"/>
      <c r="G727" s="2022"/>
      <c r="H727" s="1965"/>
      <c r="I727" s="2078"/>
      <c r="J727" s="1965" t="s">
        <v>1649</v>
      </c>
      <c r="K727" s="1921"/>
      <c r="L727" s="1920"/>
    </row>
    <row r="728" spans="1:12" s="1340" customFormat="1">
      <c r="A728" s="1945"/>
      <c r="B728" s="2029"/>
      <c r="C728" s="1945"/>
      <c r="D728" s="1945"/>
      <c r="E728" s="1945"/>
      <c r="F728" s="1945"/>
      <c r="G728" s="2022"/>
      <c r="H728" s="1965"/>
      <c r="I728" s="2078"/>
      <c r="J728" s="1965" t="s">
        <v>1649</v>
      </c>
      <c r="K728" s="1921"/>
      <c r="L728" s="1920"/>
    </row>
    <row r="729" spans="1:12">
      <c r="A729" s="1092"/>
      <c r="B729" s="1981" t="s">
        <v>826</v>
      </c>
      <c r="C729" s="1092"/>
      <c r="D729" s="1991" t="s">
        <v>827</v>
      </c>
      <c r="E729" s="1991"/>
      <c r="F729" s="1991"/>
      <c r="G729" s="1991"/>
      <c r="H729" s="1991"/>
      <c r="I729" s="2077"/>
      <c r="J729" s="1948"/>
      <c r="K729" s="1921"/>
    </row>
    <row r="730" spans="1:12" ht="15.75" thickBot="1">
      <c r="A730" s="1092"/>
      <c r="B730" s="1985"/>
      <c r="C730" s="1982"/>
      <c r="D730" s="1983" t="s">
        <v>828</v>
      </c>
      <c r="E730" s="1983"/>
      <c r="F730" s="1983"/>
      <c r="G730" s="2076"/>
      <c r="H730" s="1984"/>
      <c r="I730" s="2077"/>
      <c r="J730" s="1946" t="s">
        <v>1649</v>
      </c>
      <c r="K730" s="1921"/>
    </row>
    <row r="731" spans="1:12" ht="15.75" thickBot="1">
      <c r="A731" s="1092"/>
      <c r="B731" s="1985"/>
      <c r="C731" s="2005" t="s">
        <v>10</v>
      </c>
      <c r="D731" s="2006" t="s">
        <v>11</v>
      </c>
      <c r="E731" s="2006" t="s">
        <v>12</v>
      </c>
      <c r="F731" s="2006" t="s">
        <v>13</v>
      </c>
      <c r="G731" s="2006" t="s">
        <v>14</v>
      </c>
      <c r="H731" s="2007" t="s">
        <v>1835</v>
      </c>
      <c r="I731" s="2008">
        <f>$G$17</f>
        <v>0.27</v>
      </c>
      <c r="J731" s="2007" t="s">
        <v>1834</v>
      </c>
      <c r="K731" s="1921"/>
    </row>
    <row r="732" spans="1:12">
      <c r="A732" s="1092"/>
      <c r="B732" s="1985"/>
      <c r="C732" s="2002" t="s">
        <v>1779</v>
      </c>
      <c r="D732" s="2003" t="s">
        <v>190</v>
      </c>
      <c r="E732" s="2004">
        <v>1045</v>
      </c>
      <c r="F732" s="2003">
        <v>1</v>
      </c>
      <c r="G732" s="2004">
        <v>10</v>
      </c>
      <c r="H732" s="2154">
        <v>2052.4899999999998</v>
      </c>
      <c r="I732" s="2115">
        <f>H732-H732*$I$696</f>
        <v>1498.3176999999998</v>
      </c>
      <c r="J732" s="2103">
        <f>H732*0.8</f>
        <v>1641.992</v>
      </c>
      <c r="K732" s="1921"/>
    </row>
    <row r="733" spans="1:12">
      <c r="A733" s="1092"/>
      <c r="B733" s="1985"/>
      <c r="C733" s="2054"/>
      <c r="D733" s="1996"/>
      <c r="E733" s="814"/>
      <c r="F733" s="1996"/>
      <c r="G733" s="415"/>
      <c r="H733" s="1998"/>
      <c r="I733" s="2077"/>
      <c r="J733" s="1946" t="s">
        <v>1649</v>
      </c>
      <c r="K733" s="1921"/>
    </row>
    <row r="734" spans="1:12">
      <c r="A734" s="1092"/>
      <c r="B734" s="2026"/>
      <c r="C734" s="2076"/>
      <c r="D734" s="2076"/>
      <c r="E734" s="2076"/>
      <c r="F734" s="2076"/>
      <c r="G734" s="2076"/>
      <c r="H734" s="2079"/>
      <c r="I734" s="2077"/>
      <c r="J734" s="1946" t="s">
        <v>1649</v>
      </c>
      <c r="K734" s="1921"/>
    </row>
    <row r="735" spans="1:12" ht="18.75">
      <c r="A735" s="1092"/>
      <c r="B735" s="1994" t="s">
        <v>2015</v>
      </c>
      <c r="C735" s="1973"/>
      <c r="D735" s="1973"/>
      <c r="E735" s="1973"/>
      <c r="F735" s="1973"/>
      <c r="G735" s="2076"/>
      <c r="H735" s="1984"/>
      <c r="I735" s="2077"/>
      <c r="J735" s="1946" t="s">
        <v>1649</v>
      </c>
      <c r="K735" s="1921"/>
    </row>
    <row r="736" spans="1:12" s="1340" customFormat="1">
      <c r="A736" s="1945"/>
      <c r="B736" s="1974" t="s">
        <v>1</v>
      </c>
      <c r="C736" s="1945"/>
      <c r="D736" s="1945"/>
      <c r="E736" s="1945"/>
      <c r="F736" s="1976"/>
      <c r="G736" s="1964"/>
      <c r="H736" s="1977"/>
      <c r="I736" s="2078"/>
      <c r="J736" s="1965" t="s">
        <v>1649</v>
      </c>
      <c r="K736" s="1921"/>
      <c r="L736" s="1920"/>
    </row>
    <row r="737" spans="1:12" s="1340" customFormat="1" ht="24" customHeight="1">
      <c r="A737" s="1945"/>
      <c r="B737" s="2192" t="s">
        <v>1821</v>
      </c>
      <c r="C737" s="2192"/>
      <c r="D737" s="2192"/>
      <c r="E737" s="2192"/>
      <c r="F737" s="2192"/>
      <c r="G737" s="2192"/>
      <c r="H737" s="2192"/>
      <c r="I737" s="2192"/>
      <c r="J737" s="2192"/>
      <c r="K737" s="1921"/>
      <c r="L737" s="1920"/>
    </row>
    <row r="738" spans="1:12" s="1340" customFormat="1">
      <c r="A738" s="1945"/>
      <c r="B738" s="1974" t="s">
        <v>2</v>
      </c>
      <c r="C738" s="1945"/>
      <c r="D738" s="1945"/>
      <c r="E738" s="1945"/>
      <c r="F738" s="1976"/>
      <c r="G738" s="2022"/>
      <c r="H738" s="1965"/>
      <c r="I738" s="2078"/>
      <c r="J738" s="1965" t="s">
        <v>1649</v>
      </c>
      <c r="K738" s="1921"/>
      <c r="L738" s="1920"/>
    </row>
    <row r="739" spans="1:12" s="1340" customFormat="1">
      <c r="A739" s="1945"/>
      <c r="B739" s="2029" t="s">
        <v>1819</v>
      </c>
      <c r="C739" s="1975"/>
      <c r="D739" s="1945"/>
      <c r="E739" s="1945"/>
      <c r="F739" s="1976"/>
      <c r="G739" s="2022"/>
      <c r="H739" s="1965"/>
      <c r="I739" s="2078"/>
      <c r="J739" s="1965" t="s">
        <v>1649</v>
      </c>
      <c r="K739" s="1921"/>
      <c r="L739" s="1920"/>
    </row>
    <row r="740" spans="1:12" s="1340" customFormat="1">
      <c r="A740" s="1945"/>
      <c r="B740" s="2024" t="s">
        <v>820</v>
      </c>
      <c r="C740" s="2011"/>
      <c r="D740" s="2011"/>
      <c r="E740" s="2011"/>
      <c r="F740" s="2011"/>
      <c r="G740" s="2022"/>
      <c r="H740" s="1965"/>
      <c r="I740" s="2078"/>
      <c r="J740" s="1965" t="s">
        <v>1649</v>
      </c>
      <c r="K740" s="1921"/>
      <c r="L740" s="1920"/>
    </row>
    <row r="741" spans="1:12" s="1340" customFormat="1">
      <c r="A741" s="1945"/>
      <c r="B741" s="2024" t="s">
        <v>821</v>
      </c>
      <c r="C741" s="2011"/>
      <c r="D741" s="2011"/>
      <c r="E741" s="2011"/>
      <c r="F741" s="2011"/>
      <c r="G741" s="2022"/>
      <c r="H741" s="1965"/>
      <c r="I741" s="2078"/>
      <c r="J741" s="1965" t="s">
        <v>1649</v>
      </c>
      <c r="K741" s="1921"/>
      <c r="L741" s="1920"/>
    </row>
    <row r="742" spans="1:12" s="1340" customFormat="1">
      <c r="A742" s="1945"/>
      <c r="B742" s="2024" t="s">
        <v>1822</v>
      </c>
      <c r="C742" s="2011"/>
      <c r="D742" s="2011"/>
      <c r="E742" s="2011"/>
      <c r="F742" s="2011"/>
      <c r="G742" s="2022"/>
      <c r="H742" s="1965"/>
      <c r="I742" s="2078"/>
      <c r="J742" s="1965" t="s">
        <v>1649</v>
      </c>
      <c r="K742" s="1921"/>
      <c r="L742" s="1920"/>
    </row>
    <row r="743" spans="1:12" s="1340" customFormat="1" ht="13.5" customHeight="1">
      <c r="A743" s="1945"/>
      <c r="B743" s="1974" t="s">
        <v>5</v>
      </c>
      <c r="C743" s="1945"/>
      <c r="D743" s="1945"/>
      <c r="E743" s="1945"/>
      <c r="F743" s="1976"/>
      <c r="G743" s="2022"/>
      <c r="H743" s="1965"/>
      <c r="I743" s="2078"/>
      <c r="J743" s="1965" t="s">
        <v>1649</v>
      </c>
      <c r="K743" s="1921"/>
      <c r="L743" s="1920"/>
    </row>
    <row r="744" spans="1:12" s="1340" customFormat="1" ht="13.5" customHeight="1">
      <c r="A744" s="1945"/>
      <c r="B744" s="2196" t="s">
        <v>846</v>
      </c>
      <c r="C744" s="2196"/>
      <c r="D744" s="2196"/>
      <c r="E744" s="1945"/>
      <c r="F744" s="1976"/>
      <c r="G744" s="2022"/>
      <c r="H744" s="1965"/>
      <c r="I744" s="2078"/>
      <c r="J744" s="1965" t="s">
        <v>1649</v>
      </c>
      <c r="K744" s="1921"/>
      <c r="L744" s="1920"/>
    </row>
    <row r="745" spans="1:12" s="1340" customFormat="1" ht="13.5" customHeight="1">
      <c r="A745" s="1945"/>
      <c r="B745" s="2196" t="s">
        <v>834</v>
      </c>
      <c r="C745" s="2196"/>
      <c r="D745" s="2196"/>
      <c r="E745" s="2196"/>
      <c r="F745" s="2196"/>
      <c r="G745" s="2011"/>
      <c r="H745" s="2074"/>
      <c r="I745" s="2078"/>
      <c r="J745" s="1965" t="s">
        <v>1649</v>
      </c>
      <c r="K745" s="1921"/>
      <c r="L745" s="1920"/>
    </row>
    <row r="746" spans="1:12" s="1340" customFormat="1" ht="13.5" customHeight="1">
      <c r="A746" s="1945"/>
      <c r="B746" s="2029" t="s">
        <v>824</v>
      </c>
      <c r="C746" s="1979"/>
      <c r="D746" s="1945"/>
      <c r="E746" s="1945"/>
      <c r="F746" s="1976"/>
      <c r="G746" s="2022"/>
      <c r="H746" s="1965"/>
      <c r="I746" s="2078"/>
      <c r="J746" s="1965" t="s">
        <v>1649</v>
      </c>
      <c r="K746" s="1921"/>
      <c r="L746" s="1920"/>
    </row>
    <row r="747" spans="1:12" s="1340" customFormat="1" ht="13.5" customHeight="1">
      <c r="A747" s="1945"/>
      <c r="B747" s="2029" t="s">
        <v>825</v>
      </c>
      <c r="C747" s="1979"/>
      <c r="D747" s="1945"/>
      <c r="E747" s="1945"/>
      <c r="F747" s="1976"/>
      <c r="G747" s="2022"/>
      <c r="H747" s="1965"/>
      <c r="I747" s="2078"/>
      <c r="J747" s="1965" t="s">
        <v>1649</v>
      </c>
      <c r="K747" s="1921"/>
      <c r="L747" s="1920"/>
    </row>
    <row r="748" spans="1:12" s="1340" customFormat="1">
      <c r="A748" s="1945"/>
      <c r="B748" s="2029"/>
      <c r="C748" s="1945"/>
      <c r="D748" s="1945"/>
      <c r="E748" s="1945"/>
      <c r="F748" s="1945"/>
      <c r="G748" s="2022"/>
      <c r="H748" s="1965"/>
      <c r="I748" s="2078"/>
      <c r="J748" s="1965" t="s">
        <v>1649</v>
      </c>
      <c r="K748" s="1921"/>
      <c r="L748" s="1920"/>
    </row>
    <row r="749" spans="1:12">
      <c r="A749" s="1092"/>
      <c r="B749" s="1981" t="s">
        <v>835</v>
      </c>
      <c r="C749" s="1983"/>
      <c r="D749" s="1991" t="s">
        <v>1805</v>
      </c>
      <c r="E749" s="1991"/>
      <c r="F749" s="1991"/>
      <c r="G749" s="1991"/>
      <c r="H749" s="1992"/>
      <c r="I749" s="2080"/>
      <c r="J749" s="1986"/>
      <c r="K749" s="1921"/>
    </row>
    <row r="750" spans="1:12" ht="15.75" thickBot="1">
      <c r="A750" s="1092"/>
      <c r="B750" s="1985"/>
      <c r="C750" s="1982"/>
      <c r="D750" s="1983" t="s">
        <v>828</v>
      </c>
      <c r="E750" s="1983"/>
      <c r="F750" s="1983"/>
      <c r="G750" s="2015"/>
      <c r="H750" s="1984"/>
      <c r="I750" s="2075"/>
      <c r="J750" s="1984" t="s">
        <v>1649</v>
      </c>
      <c r="K750" s="1921"/>
    </row>
    <row r="751" spans="1:12" ht="15.75" thickBot="1">
      <c r="A751" s="1092"/>
      <c r="B751" s="1985"/>
      <c r="C751" s="2005" t="s">
        <v>10</v>
      </c>
      <c r="D751" s="2006" t="s">
        <v>11</v>
      </c>
      <c r="E751" s="2006" t="s">
        <v>12</v>
      </c>
      <c r="F751" s="2006" t="s">
        <v>13</v>
      </c>
      <c r="G751" s="2006" t="s">
        <v>14</v>
      </c>
      <c r="H751" s="2007" t="s">
        <v>1835</v>
      </c>
      <c r="I751" s="2008">
        <f>$G$17</f>
        <v>0.27</v>
      </c>
      <c r="J751" s="2007" t="s">
        <v>1834</v>
      </c>
      <c r="K751" s="1921"/>
    </row>
    <row r="752" spans="1:12">
      <c r="A752" s="1092"/>
      <c r="B752" s="1985"/>
      <c r="C752" s="2002" t="s">
        <v>1763</v>
      </c>
      <c r="D752" s="2003" t="s">
        <v>190</v>
      </c>
      <c r="E752" s="2004">
        <v>762</v>
      </c>
      <c r="F752" s="2003">
        <v>1</v>
      </c>
      <c r="G752" s="2004">
        <v>10</v>
      </c>
      <c r="H752" s="2154">
        <v>1682.7</v>
      </c>
      <c r="I752" s="2115">
        <f>H752-H752*$I$696</f>
        <v>1228.3710000000001</v>
      </c>
      <c r="J752" s="2103">
        <f>H752*0.8</f>
        <v>1346.16</v>
      </c>
      <c r="K752" s="1921"/>
    </row>
    <row r="753" spans="1:11">
      <c r="A753" s="1092"/>
      <c r="B753" s="1985"/>
      <c r="C753" s="2054"/>
      <c r="D753" s="1996"/>
      <c r="E753" s="814"/>
      <c r="F753" s="1996"/>
      <c r="G753" s="814"/>
      <c r="H753" s="1998"/>
      <c r="I753" s="2075"/>
      <c r="J753" s="1984"/>
      <c r="K753" s="1921"/>
    </row>
    <row r="754" spans="1:11">
      <c r="A754" s="1092"/>
      <c r="B754" s="1985"/>
      <c r="C754" s="2054"/>
      <c r="D754" s="2048"/>
      <c r="E754" s="814"/>
      <c r="F754" s="1996"/>
      <c r="G754" s="415"/>
      <c r="H754" s="2089"/>
      <c r="I754" s="1947"/>
      <c r="J754" s="1946"/>
      <c r="K754" s="1921"/>
    </row>
    <row r="755" spans="1:11" ht="16.5" customHeight="1">
      <c r="A755" s="1092"/>
      <c r="B755" s="1994" t="s">
        <v>2016</v>
      </c>
      <c r="C755" s="1973"/>
      <c r="D755" s="1973"/>
      <c r="E755" s="1973"/>
      <c r="F755" s="1983"/>
      <c r="G755" s="1945"/>
      <c r="H755" s="1984"/>
      <c r="I755" s="1947"/>
      <c r="J755" s="1995" t="s">
        <v>1780</v>
      </c>
      <c r="K755" s="1921"/>
    </row>
    <row r="756" spans="1:11" s="1913" customFormat="1">
      <c r="A756" s="1983"/>
      <c r="B756" s="1985"/>
      <c r="C756" s="1983"/>
      <c r="D756" s="1983"/>
      <c r="E756" s="1983"/>
      <c r="F756" s="1983"/>
      <c r="G756" s="2055"/>
      <c r="H756" s="2056"/>
      <c r="I756" s="1989"/>
      <c r="J756" s="1984"/>
      <c r="K756" s="1921"/>
    </row>
    <row r="757" spans="1:11" ht="15.75" thickBot="1">
      <c r="A757" s="1092"/>
      <c r="B757" s="1981" t="s">
        <v>123</v>
      </c>
      <c r="C757" s="1983"/>
      <c r="D757" s="1982" t="s">
        <v>768</v>
      </c>
      <c r="E757" s="1983"/>
      <c r="F757" s="1983"/>
      <c r="G757" s="1945"/>
      <c r="H757" s="1984"/>
      <c r="I757" s="1947"/>
      <c r="J757" s="1946"/>
      <c r="K757" s="1921"/>
    </row>
    <row r="758" spans="1:11" ht="15.75" thickBot="1">
      <c r="A758" s="1092"/>
      <c r="B758" s="1985"/>
      <c r="C758" s="2005" t="s">
        <v>10</v>
      </c>
      <c r="D758" s="2006" t="s">
        <v>11</v>
      </c>
      <c r="E758" s="2006" t="s">
        <v>12</v>
      </c>
      <c r="F758" s="2006" t="s">
        <v>13</v>
      </c>
      <c r="G758" s="2006" t="s">
        <v>14</v>
      </c>
      <c r="H758" s="2140" t="s">
        <v>1835</v>
      </c>
      <c r="I758" s="2008">
        <f>$G$17</f>
        <v>0.27</v>
      </c>
      <c r="J758" s="2007" t="s">
        <v>1834</v>
      </c>
      <c r="K758" s="1921"/>
    </row>
    <row r="759" spans="1:11">
      <c r="A759" s="1092"/>
      <c r="B759" s="1987"/>
      <c r="C759" s="2002" t="s">
        <v>1766</v>
      </c>
      <c r="D759" s="2003" t="s">
        <v>190</v>
      </c>
      <c r="E759" s="2004">
        <v>560</v>
      </c>
      <c r="F759" s="2003">
        <v>1</v>
      </c>
      <c r="G759" s="2004">
        <v>40</v>
      </c>
      <c r="H759" s="2154">
        <v>281.81818181818181</v>
      </c>
      <c r="I759" s="2115">
        <f>H759-H759*$I$758</f>
        <v>205.72727272727272</v>
      </c>
      <c r="J759" s="2103">
        <f>H759*0.8</f>
        <v>225.45454545454547</v>
      </c>
      <c r="K759" s="1921"/>
    </row>
    <row r="760" spans="1:11">
      <c r="A760" s="1092"/>
      <c r="B760" s="1985"/>
      <c r="C760" s="1999" t="s">
        <v>1767</v>
      </c>
      <c r="D760" s="2000" t="s">
        <v>192</v>
      </c>
      <c r="E760" s="2001">
        <v>528</v>
      </c>
      <c r="F760" s="2000">
        <v>1</v>
      </c>
      <c r="G760" s="2001">
        <v>40</v>
      </c>
      <c r="H760" s="2155">
        <v>300</v>
      </c>
      <c r="I760" s="2115">
        <f>H760-H760*$I$758</f>
        <v>219</v>
      </c>
      <c r="J760" s="2104">
        <f>H760*0.8</f>
        <v>240</v>
      </c>
      <c r="K760" s="1921"/>
    </row>
    <row r="761" spans="1:11">
      <c r="A761" s="1092"/>
      <c r="B761" s="1985"/>
      <c r="C761" s="1092"/>
      <c r="D761" s="1944"/>
      <c r="E761" s="1983"/>
      <c r="F761" s="1983"/>
      <c r="G761" s="1945"/>
      <c r="H761" s="2161"/>
      <c r="I761" s="1947"/>
      <c r="J761" s="1946"/>
      <c r="K761" s="1921"/>
    </row>
    <row r="762" spans="1:11" ht="15.75" thickBot="1">
      <c r="A762" s="1092"/>
      <c r="B762" s="2013" t="s">
        <v>746</v>
      </c>
      <c r="C762" s="1983"/>
      <c r="D762" s="2014" t="s">
        <v>769</v>
      </c>
      <c r="E762" s="2015"/>
      <c r="F762" s="2015"/>
      <c r="G762" s="2022"/>
      <c r="H762" s="2162"/>
      <c r="I762" s="1947"/>
      <c r="J762" s="1946"/>
      <c r="K762" s="1921"/>
    </row>
    <row r="763" spans="1:11" ht="15.75" thickBot="1">
      <c r="A763" s="1092"/>
      <c r="B763" s="2017"/>
      <c r="C763" s="2005" t="s">
        <v>10</v>
      </c>
      <c r="D763" s="2006" t="s">
        <v>11</v>
      </c>
      <c r="E763" s="2006" t="s">
        <v>12</v>
      </c>
      <c r="F763" s="2006" t="s">
        <v>13</v>
      </c>
      <c r="G763" s="2006" t="s">
        <v>14</v>
      </c>
      <c r="H763" s="2140" t="s">
        <v>1835</v>
      </c>
      <c r="I763" s="2008">
        <f>$G$17</f>
        <v>0.27</v>
      </c>
      <c r="J763" s="2007" t="s">
        <v>1834</v>
      </c>
      <c r="K763" s="1921"/>
    </row>
    <row r="764" spans="1:11">
      <c r="A764" s="1092"/>
      <c r="B764" s="2017"/>
      <c r="C764" s="2002" t="s">
        <v>1768</v>
      </c>
      <c r="D764" s="2003" t="s">
        <v>190</v>
      </c>
      <c r="E764" s="2004">
        <v>530</v>
      </c>
      <c r="F764" s="2003">
        <v>1</v>
      </c>
      <c r="G764" s="2004">
        <v>40</v>
      </c>
      <c r="H764" s="2154">
        <v>249.09090909090907</v>
      </c>
      <c r="I764" s="2115">
        <f>H764-H764*$I$758</f>
        <v>181.83636363636361</v>
      </c>
      <c r="J764" s="2103">
        <f>H764*0.8</f>
        <v>199.27272727272725</v>
      </c>
      <c r="K764" s="1921"/>
    </row>
    <row r="765" spans="1:11">
      <c r="A765" s="1092"/>
      <c r="B765" s="2017"/>
      <c r="C765" s="1999" t="s">
        <v>1769</v>
      </c>
      <c r="D765" s="2000" t="s">
        <v>192</v>
      </c>
      <c r="E765" s="2001">
        <v>468</v>
      </c>
      <c r="F765" s="2000">
        <v>1</v>
      </c>
      <c r="G765" s="2001">
        <v>40</v>
      </c>
      <c r="H765" s="2155">
        <v>263.64</v>
      </c>
      <c r="I765" s="2115">
        <f>H765-H765*$I$758</f>
        <v>192.4572</v>
      </c>
      <c r="J765" s="2104">
        <f>H765*0.8</f>
        <v>210.91200000000001</v>
      </c>
      <c r="K765" s="1921"/>
    </row>
    <row r="766" spans="1:11">
      <c r="A766" s="1092"/>
      <c r="B766" s="1985"/>
      <c r="C766" s="1092"/>
      <c r="D766" s="1944"/>
      <c r="E766" s="1983"/>
      <c r="F766" s="1983"/>
      <c r="G766" s="1945"/>
      <c r="H766" s="2161"/>
      <c r="I766" s="1947"/>
      <c r="J766" s="1946"/>
      <c r="K766" s="1921"/>
    </row>
    <row r="767" spans="1:11" ht="15.75" thickBot="1">
      <c r="A767" s="1092"/>
      <c r="B767" s="1981" t="s">
        <v>124</v>
      </c>
      <c r="C767" s="1983"/>
      <c r="D767" s="1982" t="s">
        <v>125</v>
      </c>
      <c r="E767" s="1983"/>
      <c r="F767" s="1983"/>
      <c r="G767" s="1945"/>
      <c r="H767" s="2161"/>
      <c r="I767" s="1947"/>
      <c r="J767" s="1946"/>
      <c r="K767" s="1921"/>
    </row>
    <row r="768" spans="1:11" ht="15.75" thickBot="1">
      <c r="A768" s="1092"/>
      <c r="B768" s="1985"/>
      <c r="C768" s="2005" t="s">
        <v>10</v>
      </c>
      <c r="D768" s="2006" t="s">
        <v>11</v>
      </c>
      <c r="E768" s="2006" t="s">
        <v>12</v>
      </c>
      <c r="F768" s="2006" t="s">
        <v>13</v>
      </c>
      <c r="G768" s="2006" t="s">
        <v>14</v>
      </c>
      <c r="H768" s="2140" t="s">
        <v>1835</v>
      </c>
      <c r="I768" s="2008">
        <f>$G$17</f>
        <v>0.27</v>
      </c>
      <c r="J768" s="2007" t="s">
        <v>1834</v>
      </c>
      <c r="K768" s="1921"/>
    </row>
    <row r="769" spans="1:11">
      <c r="A769" s="1092"/>
      <c r="B769" s="1987"/>
      <c r="C769" s="2002" t="s">
        <v>1770</v>
      </c>
      <c r="D769" s="2003" t="s">
        <v>190</v>
      </c>
      <c r="E769" s="2004">
        <v>365</v>
      </c>
      <c r="F769" s="2003">
        <v>1</v>
      </c>
      <c r="G769" s="2004">
        <v>50</v>
      </c>
      <c r="H769" s="2154">
        <v>229.09090909090907</v>
      </c>
      <c r="I769" s="2115">
        <f>H769-H769*$I$768</f>
        <v>167.23636363636362</v>
      </c>
      <c r="J769" s="2103">
        <f>H769*0.8</f>
        <v>183.27272727272725</v>
      </c>
      <c r="K769" s="1921"/>
    </row>
    <row r="770" spans="1:11" ht="15" customHeight="1">
      <c r="A770" s="1092"/>
      <c r="B770" s="1985"/>
      <c r="C770" s="1999" t="s">
        <v>1771</v>
      </c>
      <c r="D770" s="2000" t="s">
        <v>192</v>
      </c>
      <c r="E770" s="2001">
        <v>345</v>
      </c>
      <c r="F770" s="2000">
        <v>1</v>
      </c>
      <c r="G770" s="2001">
        <v>50</v>
      </c>
      <c r="H770" s="2155">
        <v>249.09090909090907</v>
      </c>
      <c r="I770" s="2115">
        <f>H770-H770*$I$768</f>
        <v>181.83636363636361</v>
      </c>
      <c r="J770" s="2104">
        <f>H770*0.8</f>
        <v>199.27272727272725</v>
      </c>
      <c r="K770" s="1921"/>
    </row>
    <row r="771" spans="1:11">
      <c r="A771" s="1092"/>
      <c r="B771" s="1985"/>
      <c r="C771" s="1092"/>
      <c r="D771" s="1944"/>
      <c r="E771" s="1983"/>
      <c r="F771" s="1983"/>
      <c r="G771" s="1945"/>
      <c r="H771" s="2161"/>
      <c r="I771" s="1947"/>
      <c r="J771" s="1946"/>
      <c r="K771" s="1921"/>
    </row>
    <row r="772" spans="1:11" ht="18.75">
      <c r="A772" s="1092"/>
      <c r="B772" s="1994" t="s">
        <v>2017</v>
      </c>
      <c r="C772" s="1973"/>
      <c r="D772" s="1973"/>
      <c r="E772" s="1973"/>
      <c r="F772" s="1983"/>
      <c r="G772" s="2052"/>
      <c r="H772" s="2161"/>
      <c r="I772" s="1947"/>
      <c r="J772" s="1995"/>
      <c r="K772" s="1921"/>
    </row>
    <row r="773" spans="1:11" s="1913" customFormat="1">
      <c r="A773" s="1983"/>
      <c r="B773" s="1985"/>
      <c r="C773" s="1983"/>
      <c r="D773" s="1983"/>
      <c r="E773" s="1983"/>
      <c r="F773" s="1983"/>
      <c r="G773" s="2055"/>
      <c r="H773" s="2163"/>
      <c r="I773" s="1989"/>
      <c r="J773" s="1984"/>
      <c r="K773" s="1921"/>
    </row>
    <row r="774" spans="1:11" ht="15.75" thickBot="1">
      <c r="A774" s="1092"/>
      <c r="B774" s="1981" t="s">
        <v>772</v>
      </c>
      <c r="C774" s="2014"/>
      <c r="D774" s="2014" t="s">
        <v>584</v>
      </c>
      <c r="E774" s="2015"/>
      <c r="F774" s="2015"/>
      <c r="G774" s="2022"/>
      <c r="H774" s="2162"/>
      <c r="I774" s="1947"/>
      <c r="J774" s="1946"/>
      <c r="K774" s="1921"/>
    </row>
    <row r="775" spans="1:11" ht="15.75" thickBot="1">
      <c r="A775" s="1092"/>
      <c r="B775" s="1985"/>
      <c r="C775" s="2005" t="s">
        <v>10</v>
      </c>
      <c r="D775" s="2006" t="s">
        <v>11</v>
      </c>
      <c r="E775" s="2006" t="s">
        <v>12</v>
      </c>
      <c r="F775" s="2006" t="s">
        <v>13</v>
      </c>
      <c r="G775" s="2006" t="s">
        <v>14</v>
      </c>
      <c r="H775" s="2140" t="s">
        <v>1835</v>
      </c>
      <c r="I775" s="2008">
        <f>$G$17</f>
        <v>0.27</v>
      </c>
      <c r="J775" s="2007" t="s">
        <v>1834</v>
      </c>
      <c r="K775" s="1921"/>
    </row>
    <row r="776" spans="1:11">
      <c r="A776" s="1092"/>
      <c r="B776" s="1985"/>
      <c r="C776" s="2002" t="s">
        <v>1828</v>
      </c>
      <c r="D776" s="2003" t="s">
        <v>586</v>
      </c>
      <c r="E776" s="2004">
        <v>160</v>
      </c>
      <c r="F776" s="2003">
        <v>1</v>
      </c>
      <c r="G776" s="2004">
        <v>100</v>
      </c>
      <c r="H776" s="2154">
        <v>20.91</v>
      </c>
      <c r="I776" s="2115">
        <f>H776-H776*$I$775</f>
        <v>15.264299999999999</v>
      </c>
      <c r="J776" s="2103">
        <f>H776*0.8</f>
        <v>16.728000000000002</v>
      </c>
      <c r="K776" s="1921"/>
    </row>
    <row r="777" spans="1:11">
      <c r="A777" s="1092"/>
      <c r="B777" s="1985"/>
      <c r="C777" s="1999" t="s">
        <v>1954</v>
      </c>
      <c r="D777" s="2000" t="s">
        <v>586</v>
      </c>
      <c r="E777" s="2001">
        <v>160</v>
      </c>
      <c r="F777" s="2000">
        <v>1</v>
      </c>
      <c r="G777" s="2001">
        <v>100</v>
      </c>
      <c r="H777" s="2155">
        <v>21.82</v>
      </c>
      <c r="I777" s="2115">
        <f>H777-H777*$I$775</f>
        <v>15.928599999999999</v>
      </c>
      <c r="J777" s="2104">
        <f>H777*0.8</f>
        <v>17.456</v>
      </c>
      <c r="K777" s="1921"/>
    </row>
    <row r="778" spans="1:11">
      <c r="A778" s="1092"/>
      <c r="B778" s="1985"/>
      <c r="C778" s="2015"/>
      <c r="D778" s="2015"/>
      <c r="E778" s="2015"/>
      <c r="F778" s="2015"/>
      <c r="G778" s="2015"/>
      <c r="H778" s="2162"/>
      <c r="I778" s="1989"/>
      <c r="J778" s="1984"/>
      <c r="K778" s="1921"/>
    </row>
    <row r="779" spans="1:11" ht="15.75" thickBot="1">
      <c r="A779" s="1092"/>
      <c r="B779" s="1981" t="s">
        <v>587</v>
      </c>
      <c r="C779" s="2014"/>
      <c r="D779" s="2014" t="s">
        <v>770</v>
      </c>
      <c r="E779" s="2015"/>
      <c r="F779" s="2015"/>
      <c r="G779" s="2015"/>
      <c r="H779" s="2162"/>
      <c r="I779" s="1989"/>
      <c r="J779" s="1984"/>
      <c r="K779" s="1921"/>
    </row>
    <row r="780" spans="1:11" ht="15.75" thickBot="1">
      <c r="A780" s="1092"/>
      <c r="B780" s="1985"/>
      <c r="C780" s="2005" t="s">
        <v>10</v>
      </c>
      <c r="D780" s="2006" t="s">
        <v>11</v>
      </c>
      <c r="E780" s="2006" t="s">
        <v>12</v>
      </c>
      <c r="F780" s="2006" t="s">
        <v>13</v>
      </c>
      <c r="G780" s="2006" t="s">
        <v>14</v>
      </c>
      <c r="H780" s="2140" t="s">
        <v>1835</v>
      </c>
      <c r="I780" s="2008">
        <f>$G$17</f>
        <v>0.27</v>
      </c>
      <c r="J780" s="2007" t="s">
        <v>1834</v>
      </c>
      <c r="K780" s="1921"/>
    </row>
    <row r="781" spans="1:11">
      <c r="A781" s="1092"/>
      <c r="B781" s="1985"/>
      <c r="C781" s="2002" t="s">
        <v>1827</v>
      </c>
      <c r="D781" s="2003" t="s">
        <v>588</v>
      </c>
      <c r="E781" s="2004">
        <v>180</v>
      </c>
      <c r="F781" s="2003">
        <v>1</v>
      </c>
      <c r="G781" s="2004">
        <v>100</v>
      </c>
      <c r="H781" s="2154">
        <v>29.09</v>
      </c>
      <c r="I781" s="2115">
        <f>H781-H781*$I$780</f>
        <v>21.235700000000001</v>
      </c>
      <c r="J781" s="2103">
        <f>H781*0.8</f>
        <v>23.272000000000002</v>
      </c>
      <c r="K781" s="1921"/>
    </row>
    <row r="782" spans="1:11">
      <c r="A782" s="1092"/>
      <c r="B782" s="1985"/>
      <c r="C782" s="2015"/>
      <c r="D782" s="2015"/>
      <c r="E782" s="2015"/>
      <c r="F782" s="2015"/>
      <c r="G782" s="2015"/>
      <c r="H782" s="2016"/>
      <c r="I782" s="1989"/>
      <c r="J782" s="1984"/>
      <c r="K782" s="1921"/>
    </row>
    <row r="783" spans="1:11" ht="15.75" thickBot="1">
      <c r="A783" s="1092"/>
      <c r="B783" s="1981" t="s">
        <v>991</v>
      </c>
      <c r="C783" s="2014"/>
      <c r="D783" s="2014" t="s">
        <v>675</v>
      </c>
      <c r="E783" s="2015"/>
      <c r="F783" s="2015"/>
      <c r="G783" s="2015"/>
      <c r="H783" s="2016"/>
      <c r="I783" s="1989"/>
      <c r="J783" s="1984"/>
      <c r="K783" s="1921"/>
    </row>
    <row r="784" spans="1:11" ht="15.75" thickBot="1">
      <c r="A784" s="1092"/>
      <c r="B784" s="1985"/>
      <c r="C784" s="2005" t="s">
        <v>10</v>
      </c>
      <c r="D784" s="2006" t="s">
        <v>11</v>
      </c>
      <c r="E784" s="2006" t="s">
        <v>12</v>
      </c>
      <c r="F784" s="2006" t="s">
        <v>13</v>
      </c>
      <c r="G784" s="2006" t="s">
        <v>14</v>
      </c>
      <c r="H784" s="2007" t="s">
        <v>1835</v>
      </c>
      <c r="I784" s="2008">
        <f>$G$17</f>
        <v>0.27</v>
      </c>
      <c r="J784" s="2007" t="s">
        <v>1834</v>
      </c>
      <c r="K784" s="1921"/>
    </row>
    <row r="785" spans="1:11">
      <c r="A785" s="1092"/>
      <c r="B785" s="1985"/>
      <c r="C785" s="2002" t="s">
        <v>1772</v>
      </c>
      <c r="D785" s="2003" t="s">
        <v>190</v>
      </c>
      <c r="E785" s="2004">
        <v>13</v>
      </c>
      <c r="F785" s="2003">
        <v>100</v>
      </c>
      <c r="G785" s="2004">
        <v>1000</v>
      </c>
      <c r="H785" s="2154">
        <v>43.636363636363626</v>
      </c>
      <c r="I785" s="2115">
        <f>H785-H785*$I$784</f>
        <v>31.854545454545445</v>
      </c>
      <c r="J785" s="2103">
        <f>H785*0.8</f>
        <v>34.909090909090899</v>
      </c>
      <c r="K785" s="1921"/>
    </row>
    <row r="786" spans="1:11">
      <c r="A786" s="1092"/>
      <c r="B786" s="1985"/>
      <c r="C786" s="1999" t="s">
        <v>1773</v>
      </c>
      <c r="D786" s="2000" t="s">
        <v>192</v>
      </c>
      <c r="E786" s="2001">
        <v>20</v>
      </c>
      <c r="F786" s="2000">
        <v>60</v>
      </c>
      <c r="G786" s="2001">
        <v>600</v>
      </c>
      <c r="H786" s="2155">
        <v>56.363636363636353</v>
      </c>
      <c r="I786" s="2115">
        <f>H786-H786*$I$784</f>
        <v>41.145454545454534</v>
      </c>
      <c r="J786" s="2104">
        <f>H786*0.8</f>
        <v>45.090909090909086</v>
      </c>
      <c r="K786" s="1921"/>
    </row>
    <row r="787" spans="1:11">
      <c r="A787" s="1092"/>
      <c r="B787" s="1943"/>
      <c r="C787" s="2015"/>
      <c r="D787" s="2015"/>
      <c r="E787" s="2015"/>
      <c r="F787" s="2015"/>
      <c r="G787" s="2015"/>
      <c r="H787" s="2016"/>
      <c r="I787" s="1989"/>
      <c r="J787" s="1984"/>
      <c r="K787" s="1921"/>
    </row>
    <row r="788" spans="1:11" ht="15.75" thickBot="1">
      <c r="A788" s="1092"/>
      <c r="B788" s="1981" t="s">
        <v>771</v>
      </c>
      <c r="C788" s="2014"/>
      <c r="D788" s="2014" t="s">
        <v>590</v>
      </c>
      <c r="E788" s="2015"/>
      <c r="F788" s="2015"/>
      <c r="G788" s="2015"/>
      <c r="H788" s="2016"/>
      <c r="I788" s="1989"/>
      <c r="J788" s="1984"/>
      <c r="K788" s="1921"/>
    </row>
    <row r="789" spans="1:11" ht="15.75" thickBot="1">
      <c r="A789" s="1092"/>
      <c r="B789" s="1985"/>
      <c r="C789" s="2005" t="s">
        <v>10</v>
      </c>
      <c r="D789" s="2006" t="s">
        <v>11</v>
      </c>
      <c r="E789" s="2006" t="s">
        <v>12</v>
      </c>
      <c r="F789" s="2006" t="s">
        <v>13</v>
      </c>
      <c r="G789" s="2006" t="s">
        <v>14</v>
      </c>
      <c r="H789" s="2007" t="s">
        <v>1835</v>
      </c>
      <c r="I789" s="2008">
        <f>$G$17</f>
        <v>0.27</v>
      </c>
      <c r="J789" s="2007" t="s">
        <v>1834</v>
      </c>
      <c r="K789" s="1921"/>
    </row>
    <row r="790" spans="1:11" ht="15.75" customHeight="1">
      <c r="A790" s="1092"/>
      <c r="B790" s="1985"/>
      <c r="C790" s="2002" t="s">
        <v>1774</v>
      </c>
      <c r="D790" s="2003" t="s">
        <v>190</v>
      </c>
      <c r="E790" s="2004">
        <v>18</v>
      </c>
      <c r="F790" s="2003">
        <v>100</v>
      </c>
      <c r="G790" s="2004">
        <v>1000</v>
      </c>
      <c r="H790" s="2154">
        <v>49.090909090909086</v>
      </c>
      <c r="I790" s="2115">
        <f>H790-H790*$I$789</f>
        <v>35.836363636363629</v>
      </c>
      <c r="J790" s="2103">
        <f>H790*0.8</f>
        <v>39.272727272727273</v>
      </c>
      <c r="K790" s="1921"/>
    </row>
    <row r="791" spans="1:11" ht="15.75" customHeight="1">
      <c r="A791" s="1092"/>
      <c r="B791" s="1985"/>
      <c r="C791" s="1999" t="s">
        <v>1995</v>
      </c>
      <c r="D791" s="2000" t="s">
        <v>190</v>
      </c>
      <c r="E791" s="2001">
        <v>18</v>
      </c>
      <c r="F791" s="2000">
        <v>60</v>
      </c>
      <c r="G791" s="2001">
        <v>600</v>
      </c>
      <c r="H791" s="2155">
        <v>67.272727272727266</v>
      </c>
      <c r="I791" s="2115">
        <f>H791-H791*$I$789</f>
        <v>49.109090909090902</v>
      </c>
      <c r="J791" s="2104">
        <f>H791*0.8</f>
        <v>53.818181818181813</v>
      </c>
      <c r="K791" s="1921"/>
    </row>
    <row r="792" spans="1:11">
      <c r="A792" s="1092"/>
      <c r="B792" s="1985"/>
      <c r="C792" s="2015"/>
      <c r="D792" s="2090"/>
      <c r="E792" s="2015"/>
      <c r="F792" s="2015"/>
      <c r="G792" s="2022"/>
      <c r="H792" s="2016"/>
      <c r="I792" s="1947"/>
      <c r="J792" s="1946"/>
      <c r="K792" s="1921"/>
    </row>
    <row r="793" spans="1:11" ht="15.75" thickBot="1">
      <c r="A793" s="1092"/>
      <c r="B793" s="1981" t="s">
        <v>592</v>
      </c>
      <c r="C793" s="2014"/>
      <c r="D793" s="2014" t="s">
        <v>676</v>
      </c>
      <c r="E793" s="2015"/>
      <c r="F793" s="2015"/>
      <c r="G793" s="2015"/>
      <c r="H793" s="2016"/>
      <c r="I793" s="1989"/>
      <c r="J793" s="1984"/>
      <c r="K793" s="1921"/>
    </row>
    <row r="794" spans="1:11" ht="15.75" thickBot="1">
      <c r="A794" s="1092"/>
      <c r="B794" s="1985"/>
      <c r="C794" s="2005" t="s">
        <v>10</v>
      </c>
      <c r="D794" s="2006" t="s">
        <v>11</v>
      </c>
      <c r="E794" s="2006" t="s">
        <v>12</v>
      </c>
      <c r="F794" s="2006" t="s">
        <v>13</v>
      </c>
      <c r="G794" s="2006" t="s">
        <v>14</v>
      </c>
      <c r="H794" s="2007" t="s">
        <v>1835</v>
      </c>
      <c r="I794" s="2008">
        <f>$G$17</f>
        <v>0.27</v>
      </c>
      <c r="J794" s="2007" t="s">
        <v>1834</v>
      </c>
      <c r="K794" s="1921"/>
    </row>
    <row r="795" spans="1:11">
      <c r="A795" s="1092"/>
      <c r="B795" s="1985"/>
      <c r="C795" s="2002" t="s">
        <v>1775</v>
      </c>
      <c r="D795" s="2003" t="s">
        <v>194</v>
      </c>
      <c r="E795" s="2004">
        <v>48</v>
      </c>
      <c r="F795" s="2003">
        <v>72</v>
      </c>
      <c r="G795" s="2004">
        <v>360</v>
      </c>
      <c r="H795" s="2154">
        <v>30.909090909090907</v>
      </c>
      <c r="I795" s="2115">
        <f>H795-H795*$I$794</f>
        <v>22.563636363636363</v>
      </c>
      <c r="J795" s="2103">
        <f>H795*0.8</f>
        <v>24.727272727272727</v>
      </c>
      <c r="K795" s="1921"/>
    </row>
    <row r="796" spans="1:11">
      <c r="A796" s="1092"/>
      <c r="B796" s="1985"/>
      <c r="C796" s="2044"/>
      <c r="D796" s="2020"/>
      <c r="E796" s="2021"/>
      <c r="F796" s="2020"/>
      <c r="G796" s="2021"/>
      <c r="H796" s="1997"/>
      <c r="I796" s="1989"/>
      <c r="J796" s="1984"/>
      <c r="K796" s="1921"/>
    </row>
    <row r="797" spans="1:11" ht="15.75" thickBot="1">
      <c r="A797" s="1092"/>
      <c r="B797" s="1981" t="s">
        <v>594</v>
      </c>
      <c r="C797" s="2014"/>
      <c r="D797" s="2014" t="s">
        <v>593</v>
      </c>
      <c r="E797" s="2015"/>
      <c r="F797" s="2015"/>
      <c r="G797" s="2015"/>
      <c r="H797" s="2016"/>
      <c r="I797" s="1989"/>
      <c r="J797" s="1984"/>
      <c r="K797" s="1921"/>
    </row>
    <row r="798" spans="1:11" ht="15.75" thickBot="1">
      <c r="A798" s="1092"/>
      <c r="B798" s="1985"/>
      <c r="C798" s="2005" t="s">
        <v>10</v>
      </c>
      <c r="D798" s="2006" t="s">
        <v>11</v>
      </c>
      <c r="E798" s="2006" t="s">
        <v>12</v>
      </c>
      <c r="F798" s="2006" t="s">
        <v>13</v>
      </c>
      <c r="G798" s="2006" t="s">
        <v>14</v>
      </c>
      <c r="H798" s="2007" t="s">
        <v>1835</v>
      </c>
      <c r="I798" s="2008">
        <f>$G$17</f>
        <v>0.27</v>
      </c>
      <c r="J798" s="2007" t="s">
        <v>1834</v>
      </c>
      <c r="K798" s="1921"/>
    </row>
    <row r="799" spans="1:11">
      <c r="A799" s="1092"/>
      <c r="B799" s="1985"/>
      <c r="C799" s="2002" t="s">
        <v>1776</v>
      </c>
      <c r="D799" s="2003" t="s">
        <v>194</v>
      </c>
      <c r="E799" s="2004">
        <v>2</v>
      </c>
      <c r="F799" s="2003"/>
      <c r="G799" s="2004">
        <v>2000</v>
      </c>
      <c r="H799" s="2154">
        <v>10.909090909090907</v>
      </c>
      <c r="I799" s="2115">
        <f>H799-H799*$I$798</f>
        <v>7.9636363636363612</v>
      </c>
      <c r="J799" s="2103">
        <f>H799*0.8</f>
        <v>8.7272727272727249</v>
      </c>
      <c r="K799" s="1921"/>
    </row>
    <row r="800" spans="1:11">
      <c r="A800" s="1092"/>
      <c r="B800" s="1985"/>
      <c r="C800" s="2015"/>
      <c r="D800" s="2015"/>
      <c r="E800" s="2015"/>
      <c r="F800" s="2015"/>
      <c r="G800" s="2015"/>
      <c r="H800" s="2016"/>
      <c r="I800" s="1989"/>
      <c r="J800" s="1984"/>
      <c r="K800" s="1921"/>
    </row>
    <row r="801" spans="1:12" ht="15.75" thickBot="1">
      <c r="A801" s="1092"/>
      <c r="B801" s="1981" t="s">
        <v>595</v>
      </c>
      <c r="C801" s="2014"/>
      <c r="D801" s="2014" t="s">
        <v>673</v>
      </c>
      <c r="E801" s="2015"/>
      <c r="F801" s="2015"/>
      <c r="G801" s="2015"/>
      <c r="H801" s="2016"/>
      <c r="I801" s="1989"/>
      <c r="J801" s="1984"/>
      <c r="K801" s="1921"/>
    </row>
    <row r="802" spans="1:12" ht="15.75" thickBot="1">
      <c r="A802" s="1092"/>
      <c r="B802" s="1985"/>
      <c r="C802" s="2005" t="s">
        <v>10</v>
      </c>
      <c r="D802" s="2006" t="s">
        <v>11</v>
      </c>
      <c r="E802" s="2006" t="s">
        <v>12</v>
      </c>
      <c r="F802" s="2006" t="s">
        <v>13</v>
      </c>
      <c r="G802" s="2006" t="s">
        <v>14</v>
      </c>
      <c r="H802" s="2140" t="s">
        <v>1835</v>
      </c>
      <c r="I802" s="2008">
        <f>$G$17</f>
        <v>0.27</v>
      </c>
      <c r="J802" s="2007" t="s">
        <v>1834</v>
      </c>
      <c r="K802" s="1921"/>
    </row>
    <row r="803" spans="1:12">
      <c r="A803" s="1092"/>
      <c r="B803" s="1985"/>
      <c r="C803" s="2002" t="s">
        <v>1830</v>
      </c>
      <c r="D803" s="2003"/>
      <c r="E803" s="2004">
        <v>115</v>
      </c>
      <c r="F803" s="2003"/>
      <c r="G803" s="2004">
        <v>100</v>
      </c>
      <c r="H803" s="2154">
        <v>245.45454545454544</v>
      </c>
      <c r="I803" s="2115">
        <f>H803-H803*$I$802</f>
        <v>179.18181818181819</v>
      </c>
      <c r="J803" s="2103">
        <f>H803*0.8</f>
        <v>196.36363636363637</v>
      </c>
      <c r="K803" s="1921"/>
    </row>
    <row r="804" spans="1:12">
      <c r="A804" s="1092"/>
      <c r="B804" s="1985"/>
      <c r="C804" s="2015"/>
      <c r="D804" s="2015"/>
      <c r="E804" s="2015"/>
      <c r="F804" s="2015"/>
      <c r="G804" s="2015"/>
      <c r="H804" s="2016"/>
      <c r="I804" s="1989"/>
      <c r="J804" s="1984" t="s">
        <v>1649</v>
      </c>
    </row>
    <row r="805" spans="1:12" ht="18.75">
      <c r="A805" s="1092"/>
      <c r="B805" s="1994" t="s">
        <v>749</v>
      </c>
      <c r="C805" s="1973"/>
      <c r="D805" s="1973"/>
      <c r="E805" s="1973"/>
      <c r="F805" s="1973"/>
      <c r="G805" s="1983"/>
      <c r="H805" s="1984"/>
      <c r="I805" s="1989"/>
      <c r="J805" s="1995" t="s">
        <v>1780</v>
      </c>
    </row>
    <row r="806" spans="1:12" s="1340" customFormat="1">
      <c r="A806" s="1945"/>
      <c r="B806" s="1974" t="s">
        <v>1</v>
      </c>
      <c r="C806" s="1975"/>
      <c r="D806" s="1945"/>
      <c r="E806" s="1945"/>
      <c r="F806" s="1976"/>
      <c r="G806" s="2009"/>
      <c r="H806" s="2010"/>
      <c r="I806" s="1966"/>
      <c r="J806" s="1965"/>
      <c r="K806" s="1920"/>
      <c r="L806" s="1920"/>
    </row>
    <row r="807" spans="1:12" s="1340" customFormat="1" ht="36.75" customHeight="1">
      <c r="A807" s="1945"/>
      <c r="B807" s="2192" t="s">
        <v>1980</v>
      </c>
      <c r="C807" s="2192"/>
      <c r="D807" s="2192"/>
      <c r="E807" s="2192"/>
      <c r="F807" s="2192"/>
      <c r="G807" s="2192"/>
      <c r="H807" s="2192"/>
      <c r="I807" s="2192"/>
      <c r="J807" s="2192"/>
      <c r="K807" s="1920"/>
      <c r="L807" s="1920"/>
    </row>
    <row r="808" spans="1:12" s="1340" customFormat="1">
      <c r="A808" s="1945"/>
      <c r="B808" s="1974" t="s">
        <v>2</v>
      </c>
      <c r="C808" s="1975"/>
      <c r="D808" s="1945"/>
      <c r="E808" s="1945"/>
      <c r="F808" s="1976"/>
      <c r="G808" s="1945"/>
      <c r="H808" s="1965"/>
      <c r="I808" s="1966"/>
      <c r="J808" s="1965"/>
      <c r="K808" s="1920"/>
      <c r="L808" s="1920"/>
    </row>
    <row r="809" spans="1:12" s="1340" customFormat="1">
      <c r="A809" s="1945"/>
      <c r="B809" s="2011" t="s">
        <v>778</v>
      </c>
      <c r="C809" s="2011"/>
      <c r="D809" s="2011"/>
      <c r="E809" s="2011"/>
      <c r="F809" s="2011"/>
      <c r="G809" s="2011"/>
      <c r="H809" s="2011"/>
      <c r="I809" s="1966"/>
      <c r="J809" s="1965"/>
      <c r="K809" s="1920"/>
      <c r="L809" s="1920"/>
    </row>
    <row r="810" spans="1:12" s="1340" customFormat="1">
      <c r="A810" s="1945"/>
      <c r="B810" s="2011" t="s">
        <v>1740</v>
      </c>
      <c r="C810" s="2011"/>
      <c r="D810" s="2011"/>
      <c r="E810" s="2011"/>
      <c r="F810" s="2011"/>
      <c r="G810" s="2011"/>
      <c r="H810" s="2011"/>
      <c r="I810" s="1966"/>
      <c r="J810" s="1965"/>
      <c r="K810" s="1920"/>
      <c r="L810" s="1920"/>
    </row>
    <row r="811" spans="1:12" s="1340" customFormat="1">
      <c r="A811" s="1945"/>
      <c r="B811" s="1974" t="s">
        <v>5</v>
      </c>
      <c r="C811" s="1975"/>
      <c r="D811" s="1945"/>
      <c r="E811" s="1945"/>
      <c r="F811" s="1976"/>
      <c r="G811" s="1945"/>
      <c r="H811" s="1965"/>
      <c r="I811" s="1966"/>
      <c r="J811" s="1965"/>
      <c r="K811" s="1920"/>
      <c r="L811" s="1920"/>
    </row>
    <row r="812" spans="1:12" s="1340" customFormat="1">
      <c r="A812" s="1945"/>
      <c r="B812" s="1978" t="s">
        <v>1872</v>
      </c>
      <c r="C812" s="1975"/>
      <c r="D812" s="1975"/>
      <c r="E812" s="1975"/>
      <c r="F812" s="1976"/>
      <c r="G812" s="1945"/>
      <c r="H812" s="1965"/>
      <c r="I812" s="1966"/>
      <c r="J812" s="1965"/>
      <c r="K812" s="1920"/>
      <c r="L812" s="1920"/>
    </row>
    <row r="813" spans="1:12" s="1340" customFormat="1">
      <c r="A813" s="1945"/>
      <c r="B813" s="2196" t="s">
        <v>779</v>
      </c>
      <c r="C813" s="2202"/>
      <c r="D813" s="2202"/>
      <c r="E813" s="2202"/>
      <c r="F813" s="1976"/>
      <c r="G813" s="1945"/>
      <c r="H813" s="1965"/>
      <c r="I813" s="1966"/>
      <c r="J813" s="1965"/>
      <c r="K813" s="1920"/>
      <c r="L813" s="1920"/>
    </row>
    <row r="814" spans="1:12" s="1340" customFormat="1">
      <c r="A814" s="1945"/>
      <c r="B814" s="1978" t="s">
        <v>781</v>
      </c>
      <c r="C814" s="1979"/>
      <c r="D814" s="1945"/>
      <c r="E814" s="1945"/>
      <c r="F814" s="1976"/>
      <c r="G814" s="1945"/>
      <c r="H814" s="1965"/>
      <c r="I814" s="1966"/>
      <c r="J814" s="1965"/>
      <c r="K814" s="1920"/>
      <c r="L814" s="1920"/>
    </row>
    <row r="815" spans="1:12" s="1340" customFormat="1">
      <c r="A815" s="1945"/>
      <c r="B815" s="1978" t="s">
        <v>780</v>
      </c>
      <c r="C815" s="1979"/>
      <c r="D815" s="1945"/>
      <c r="E815" s="1945"/>
      <c r="F815" s="1976"/>
      <c r="G815" s="1945"/>
      <c r="H815" s="1965"/>
      <c r="I815" s="1966"/>
      <c r="J815" s="1965"/>
      <c r="K815" s="1920"/>
      <c r="L815" s="1920"/>
    </row>
    <row r="816" spans="1:12">
      <c r="A816" s="1092"/>
      <c r="B816" s="2012"/>
      <c r="C816" s="2012"/>
      <c r="D816" s="2012"/>
      <c r="E816" s="2012"/>
      <c r="F816" s="2012"/>
      <c r="G816" s="2012"/>
      <c r="H816" s="2012"/>
      <c r="I816" s="1989"/>
      <c r="J816" s="1984"/>
    </row>
    <row r="817" spans="1:15">
      <c r="A817" s="1092"/>
      <c r="B817" s="2013" t="s">
        <v>571</v>
      </c>
      <c r="C817" s="2014"/>
      <c r="D817" s="2014" t="s">
        <v>566</v>
      </c>
      <c r="E817" s="2015"/>
      <c r="F817" s="2015"/>
      <c r="G817" s="2015"/>
      <c r="H817" s="2016"/>
      <c r="I817" s="1989"/>
      <c r="J817" s="1984" t="s">
        <v>1649</v>
      </c>
    </row>
    <row r="818" spans="1:15" ht="15.75" thickBot="1">
      <c r="A818" s="1092"/>
      <c r="B818" s="2017"/>
      <c r="C818" s="2015"/>
      <c r="D818" s="2015" t="s">
        <v>25</v>
      </c>
      <c r="E818" s="2015"/>
      <c r="F818" s="2015"/>
      <c r="G818" s="2015"/>
      <c r="H818" s="2016"/>
      <c r="I818" s="1989"/>
      <c r="J818" s="1984" t="s">
        <v>1649</v>
      </c>
    </row>
    <row r="819" spans="1:15" ht="15.75" thickBot="1">
      <c r="A819" s="1092"/>
      <c r="B819" s="2017"/>
      <c r="C819" s="2005" t="s">
        <v>10</v>
      </c>
      <c r="D819" s="2006" t="s">
        <v>11</v>
      </c>
      <c r="E819" s="2006" t="s">
        <v>12</v>
      </c>
      <c r="F819" s="2006" t="s">
        <v>13</v>
      </c>
      <c r="G819" s="2006" t="s">
        <v>14</v>
      </c>
      <c r="H819" s="2007" t="s">
        <v>1835</v>
      </c>
      <c r="I819" s="2190"/>
      <c r="J819" s="2190"/>
    </row>
    <row r="820" spans="1:15">
      <c r="A820" s="1092"/>
      <c r="B820" s="2017"/>
      <c r="C820" s="2002" t="s">
        <v>573</v>
      </c>
      <c r="D820" s="2003" t="s">
        <v>192</v>
      </c>
      <c r="E820" s="2004">
        <v>218</v>
      </c>
      <c r="F820" s="2003">
        <v>10</v>
      </c>
      <c r="G820" s="2004">
        <v>100</v>
      </c>
      <c r="H820" s="2154">
        <v>180</v>
      </c>
      <c r="I820" s="2195" t="s">
        <v>1825</v>
      </c>
      <c r="J820" s="2195"/>
      <c r="N820" s="2183"/>
      <c r="O820" s="1340"/>
    </row>
    <row r="821" spans="1:15">
      <c r="A821" s="1092"/>
      <c r="B821" s="2018"/>
      <c r="C821" s="1999" t="s">
        <v>574</v>
      </c>
      <c r="D821" s="2000" t="s">
        <v>194</v>
      </c>
      <c r="E821" s="2001">
        <v>305</v>
      </c>
      <c r="F821" s="2000">
        <v>6</v>
      </c>
      <c r="G821" s="2001">
        <v>60</v>
      </c>
      <c r="H821" s="2155">
        <v>265</v>
      </c>
      <c r="I821" s="2189" t="s">
        <v>1825</v>
      </c>
      <c r="J821" s="2189"/>
      <c r="N821" s="2183"/>
      <c r="O821" s="1340"/>
    </row>
    <row r="822" spans="1:15">
      <c r="A822" s="1092"/>
      <c r="B822" s="2017"/>
      <c r="C822" s="2015"/>
      <c r="D822" s="2015"/>
      <c r="E822" s="2015"/>
      <c r="F822" s="2015"/>
      <c r="G822" s="2015"/>
      <c r="H822" s="2016"/>
      <c r="I822" s="1989"/>
      <c r="J822" s="1984"/>
      <c r="N822" s="2183"/>
      <c r="O822" s="1340"/>
    </row>
    <row r="823" spans="1:15">
      <c r="A823" s="1092"/>
      <c r="B823" s="2013" t="s">
        <v>575</v>
      </c>
      <c r="C823" s="2014"/>
      <c r="D823" s="2014" t="s">
        <v>576</v>
      </c>
      <c r="E823" s="2015"/>
      <c r="F823" s="2015"/>
      <c r="G823" s="2015"/>
      <c r="H823" s="2016"/>
      <c r="I823" s="1989"/>
      <c r="J823" s="1984"/>
      <c r="N823" s="2183"/>
      <c r="O823" s="1340"/>
    </row>
    <row r="824" spans="1:15" ht="15.75" thickBot="1">
      <c r="A824" s="1092"/>
      <c r="B824" s="2017"/>
      <c r="C824" s="2015"/>
      <c r="D824" s="2015" t="s">
        <v>31</v>
      </c>
      <c r="E824" s="2015"/>
      <c r="F824" s="2015"/>
      <c r="G824" s="2015"/>
      <c r="H824" s="2016"/>
      <c r="I824" s="1989"/>
      <c r="J824" s="1984"/>
      <c r="N824" s="2183"/>
      <c r="O824" s="1340"/>
    </row>
    <row r="825" spans="1:15" ht="15.75" thickBot="1">
      <c r="A825" s="1092"/>
      <c r="B825" s="2017"/>
      <c r="C825" s="2005" t="s">
        <v>10</v>
      </c>
      <c r="D825" s="2006" t="s">
        <v>11</v>
      </c>
      <c r="E825" s="2006" t="s">
        <v>12</v>
      </c>
      <c r="F825" s="2006" t="s">
        <v>13</v>
      </c>
      <c r="G825" s="2006" t="s">
        <v>14</v>
      </c>
      <c r="H825" s="2007" t="s">
        <v>1835</v>
      </c>
      <c r="I825" s="2190"/>
      <c r="J825" s="2190"/>
      <c r="N825" s="2183"/>
      <c r="O825" s="1340"/>
    </row>
    <row r="826" spans="1:15" ht="16.5" customHeight="1">
      <c r="A826" s="1092"/>
      <c r="B826" s="2017"/>
      <c r="C826" s="2002" t="s">
        <v>578</v>
      </c>
      <c r="D826" s="2003" t="s">
        <v>192</v>
      </c>
      <c r="E826" s="2004">
        <v>176</v>
      </c>
      <c r="F826" s="2003">
        <v>10</v>
      </c>
      <c r="G826" s="2004">
        <v>100</v>
      </c>
      <c r="H826" s="2154">
        <v>165</v>
      </c>
      <c r="I826" s="2195" t="s">
        <v>1825</v>
      </c>
      <c r="J826" s="2195"/>
      <c r="N826" s="2183"/>
      <c r="O826" s="1340"/>
    </row>
    <row r="827" spans="1:15">
      <c r="A827" s="1092"/>
      <c r="B827" s="2018"/>
      <c r="C827" s="2019"/>
      <c r="D827" s="2020"/>
      <c r="E827" s="2021"/>
      <c r="F827" s="2020"/>
      <c r="G827" s="2021"/>
      <c r="H827" s="1997"/>
      <c r="I827" s="1998"/>
      <c r="J827" s="1986"/>
      <c r="N827" s="2183"/>
      <c r="O827" s="1340"/>
    </row>
    <row r="828" spans="1:15">
      <c r="A828" s="1092"/>
      <c r="B828" s="2013" t="s">
        <v>580</v>
      </c>
      <c r="C828" s="2014"/>
      <c r="D828" s="2014" t="s">
        <v>576</v>
      </c>
      <c r="E828" s="2015"/>
      <c r="F828" s="2015"/>
      <c r="G828" s="2015"/>
      <c r="H828" s="2016"/>
      <c r="I828" s="1989"/>
      <c r="J828" s="1984"/>
      <c r="N828" s="2183"/>
      <c r="O828" s="1340"/>
    </row>
    <row r="829" spans="1:15" ht="15.75" thickBot="1">
      <c r="A829" s="1092"/>
      <c r="B829" s="2017"/>
      <c r="C829" s="2015"/>
      <c r="D829" s="2015" t="s">
        <v>25</v>
      </c>
      <c r="E829" s="2015"/>
      <c r="F829" s="2015"/>
      <c r="G829" s="2015"/>
      <c r="H829" s="2016"/>
      <c r="I829" s="1989"/>
      <c r="J829" s="1984"/>
      <c r="N829" s="2183"/>
      <c r="O829" s="1340"/>
    </row>
    <row r="830" spans="1:15" ht="15.75" thickBot="1">
      <c r="A830" s="1092"/>
      <c r="B830" s="2017"/>
      <c r="C830" s="2005" t="s">
        <v>10</v>
      </c>
      <c r="D830" s="2006" t="s">
        <v>11</v>
      </c>
      <c r="E830" s="2006" t="s">
        <v>12</v>
      </c>
      <c r="F830" s="2006" t="s">
        <v>13</v>
      </c>
      <c r="G830" s="2006" t="s">
        <v>14</v>
      </c>
      <c r="H830" s="2007" t="s">
        <v>1835</v>
      </c>
      <c r="I830" s="2190"/>
      <c r="J830" s="2190"/>
      <c r="N830" s="2183"/>
      <c r="O830" s="1340"/>
    </row>
    <row r="831" spans="1:15" ht="14.25" customHeight="1">
      <c r="A831" s="1092"/>
      <c r="B831" s="2017"/>
      <c r="C831" s="2002" t="s">
        <v>732</v>
      </c>
      <c r="D831" s="2003" t="s">
        <v>192</v>
      </c>
      <c r="E831" s="2004">
        <v>190</v>
      </c>
      <c r="F831" s="2003">
        <v>10</v>
      </c>
      <c r="G831" s="2004">
        <v>100</v>
      </c>
      <c r="H831" s="2154">
        <v>176</v>
      </c>
      <c r="I831" s="2195" t="s">
        <v>1825</v>
      </c>
      <c r="J831" s="2195"/>
      <c r="N831" s="2183"/>
      <c r="O831" s="1340"/>
    </row>
    <row r="832" spans="1:15">
      <c r="A832" s="1092"/>
      <c r="B832" s="2018"/>
      <c r="C832" s="1999" t="s">
        <v>733</v>
      </c>
      <c r="D832" s="2000" t="s">
        <v>194</v>
      </c>
      <c r="E832" s="2001">
        <v>270</v>
      </c>
      <c r="F832" s="2000">
        <v>6</v>
      </c>
      <c r="G832" s="2001">
        <v>60</v>
      </c>
      <c r="H832" s="2155">
        <v>257</v>
      </c>
      <c r="I832" s="2189" t="s">
        <v>1825</v>
      </c>
      <c r="J832" s="2189"/>
      <c r="N832" s="2183"/>
      <c r="O832" s="1340"/>
    </row>
    <row r="833" spans="1:15">
      <c r="A833" s="1092"/>
      <c r="B833" s="1985"/>
      <c r="C833" s="1983"/>
      <c r="D833" s="1983"/>
      <c r="E833" s="1983"/>
      <c r="F833" s="1983"/>
      <c r="G833" s="1983"/>
      <c r="H833" s="1984"/>
      <c r="I833" s="1989"/>
      <c r="J833" s="1984" t="s">
        <v>1649</v>
      </c>
      <c r="N833" s="2183"/>
      <c r="O833" s="1340"/>
    </row>
    <row r="834" spans="1:15">
      <c r="A834" s="1092"/>
      <c r="B834" s="1985"/>
      <c r="C834" s="1983"/>
      <c r="D834" s="1983"/>
      <c r="E834" s="1983"/>
      <c r="F834" s="1983"/>
      <c r="G834" s="1983"/>
      <c r="H834" s="1984"/>
      <c r="I834" s="1989"/>
      <c r="J834" s="1984"/>
      <c r="N834" s="2183"/>
      <c r="O834" s="1340"/>
    </row>
    <row r="835" spans="1:15">
      <c r="A835" s="1092"/>
      <c r="B835" s="1985"/>
      <c r="C835" s="1983"/>
      <c r="D835" s="1983"/>
      <c r="E835" s="1983"/>
      <c r="F835" s="1983"/>
      <c r="G835" s="1983"/>
      <c r="H835" s="1984"/>
      <c r="I835" s="1989"/>
      <c r="J835" s="1984"/>
      <c r="N835" s="2183"/>
      <c r="O835" s="1340"/>
    </row>
    <row r="836" spans="1:15">
      <c r="A836" s="1092"/>
      <c r="B836" s="2013"/>
      <c r="C836" s="2014"/>
      <c r="D836" s="2014"/>
      <c r="E836" s="2015"/>
      <c r="F836" s="2015"/>
      <c r="G836" s="2015"/>
      <c r="H836" s="2016"/>
      <c r="I836" s="1989"/>
      <c r="J836" s="1984" t="s">
        <v>1649</v>
      </c>
      <c r="N836" s="2183"/>
      <c r="O836" s="1340"/>
    </row>
    <row r="837" spans="1:15" ht="18.75">
      <c r="A837" s="1092"/>
      <c r="B837" s="1994" t="s">
        <v>791</v>
      </c>
      <c r="C837" s="1973"/>
      <c r="D837" s="1973"/>
      <c r="E837" s="1983"/>
      <c r="F837" s="1983"/>
      <c r="G837" s="2014"/>
      <c r="H837" s="2016"/>
      <c r="I837" s="1989"/>
      <c r="J837" s="1995" t="s">
        <v>1780</v>
      </c>
      <c r="N837" s="2183"/>
      <c r="O837" s="1340"/>
    </row>
    <row r="838" spans="1:15" s="1340" customFormat="1" ht="12" customHeight="1">
      <c r="A838" s="1945"/>
      <c r="B838" s="1974" t="s">
        <v>1</v>
      </c>
      <c r="C838" s="1975"/>
      <c r="D838" s="1945"/>
      <c r="E838" s="1945"/>
      <c r="F838" s="1976"/>
      <c r="G838" s="2009"/>
      <c r="H838" s="2010"/>
      <c r="I838" s="1966"/>
      <c r="J838" s="1965" t="s">
        <v>1649</v>
      </c>
      <c r="K838" s="1920"/>
      <c r="L838" s="1920"/>
      <c r="N838" s="2183"/>
    </row>
    <row r="839" spans="1:15" s="1340" customFormat="1" ht="39.75" customHeight="1">
      <c r="A839" s="1945"/>
      <c r="B839" s="2192" t="s">
        <v>1781</v>
      </c>
      <c r="C839" s="2192"/>
      <c r="D839" s="2192"/>
      <c r="E839" s="2192"/>
      <c r="F839" s="2192"/>
      <c r="G839" s="2192"/>
      <c r="H839" s="2192"/>
      <c r="I839" s="2192"/>
      <c r="J839" s="2192"/>
      <c r="K839" s="1920"/>
      <c r="L839" s="1920"/>
      <c r="N839" s="2183"/>
    </row>
    <row r="840" spans="1:15" s="1340" customFormat="1">
      <c r="A840" s="1945"/>
      <c r="B840" s="1974" t="s">
        <v>2</v>
      </c>
      <c r="C840" s="1975"/>
      <c r="D840" s="1945"/>
      <c r="E840" s="1945"/>
      <c r="F840" s="1976"/>
      <c r="G840" s="2022"/>
      <c r="H840" s="1965"/>
      <c r="I840" s="1966"/>
      <c r="J840" s="1965" t="s">
        <v>1649</v>
      </c>
      <c r="K840" s="1920"/>
      <c r="L840" s="1920"/>
      <c r="N840" s="2183"/>
    </row>
    <row r="841" spans="1:15" s="1912" customFormat="1">
      <c r="A841" s="1978"/>
      <c r="B841" s="1978" t="s">
        <v>1798</v>
      </c>
      <c r="C841" s="1978"/>
      <c r="D841" s="1978"/>
      <c r="E841" s="1978"/>
      <c r="F841" s="1978"/>
      <c r="G841" s="1978"/>
      <c r="H841" s="1978"/>
      <c r="I841" s="1978"/>
      <c r="J841" s="1978" t="s">
        <v>1649</v>
      </c>
      <c r="K841" s="1920"/>
      <c r="L841" s="1920"/>
      <c r="N841" s="2183"/>
      <c r="O841" s="1340"/>
    </row>
    <row r="842" spans="1:15" s="1912" customFormat="1">
      <c r="A842" s="1978"/>
      <c r="B842" s="1978" t="s">
        <v>1799</v>
      </c>
      <c r="C842" s="1978"/>
      <c r="D842" s="1978"/>
      <c r="E842" s="1978"/>
      <c r="F842" s="1978"/>
      <c r="G842" s="1978"/>
      <c r="H842" s="1978"/>
      <c r="I842" s="1978"/>
      <c r="J842" s="1978" t="s">
        <v>1649</v>
      </c>
      <c r="K842" s="1920"/>
      <c r="L842" s="1920"/>
      <c r="N842" s="2183"/>
      <c r="O842" s="1340"/>
    </row>
    <row r="843" spans="1:15" s="1340" customFormat="1">
      <c r="A843" s="1945"/>
      <c r="B843" s="1974" t="s">
        <v>5</v>
      </c>
      <c r="C843" s="1975"/>
      <c r="D843" s="1945"/>
      <c r="E843" s="1945"/>
      <c r="F843" s="1976"/>
      <c r="G843" s="2022"/>
      <c r="H843" s="1965"/>
      <c r="I843" s="1966"/>
      <c r="J843" s="1965" t="s">
        <v>1649</v>
      </c>
      <c r="K843" s="1920"/>
      <c r="L843" s="1920"/>
      <c r="N843" s="2183"/>
    </row>
    <row r="844" spans="1:15" s="1340" customFormat="1">
      <c r="A844" s="1945"/>
      <c r="B844" s="1978" t="s">
        <v>607</v>
      </c>
      <c r="C844" s="1979"/>
      <c r="D844" s="1945"/>
      <c r="E844" s="1945"/>
      <c r="F844" s="1976"/>
      <c r="G844" s="2022"/>
      <c r="H844" s="1965"/>
      <c r="I844" s="1966"/>
      <c r="J844" s="1965" t="s">
        <v>1649</v>
      </c>
      <c r="K844" s="1920"/>
      <c r="L844" s="1920"/>
      <c r="N844" s="2183"/>
    </row>
    <row r="845" spans="1:15" s="1340" customFormat="1">
      <c r="A845" s="1945"/>
      <c r="B845" s="1978" t="s">
        <v>792</v>
      </c>
      <c r="C845" s="1979"/>
      <c r="D845" s="1945"/>
      <c r="E845" s="1945"/>
      <c r="F845" s="1976"/>
      <c r="G845" s="2022"/>
      <c r="H845" s="1965"/>
      <c r="I845" s="1966"/>
      <c r="J845" s="1965" t="s">
        <v>1649</v>
      </c>
      <c r="K845" s="1920"/>
      <c r="L845" s="1920"/>
      <c r="N845" s="2183"/>
    </row>
    <row r="846" spans="1:15" s="1340" customFormat="1">
      <c r="A846" s="1945"/>
      <c r="B846" s="2024" t="s">
        <v>1877</v>
      </c>
      <c r="C846" s="2011"/>
      <c r="D846" s="2011"/>
      <c r="E846" s="2022"/>
      <c r="F846" s="1976"/>
      <c r="G846" s="2022"/>
      <c r="H846" s="2025"/>
      <c r="I846" s="1966"/>
      <c r="J846" s="1965" t="s">
        <v>1649</v>
      </c>
      <c r="K846" s="1920"/>
      <c r="L846" s="1920"/>
      <c r="N846" s="2183"/>
    </row>
    <row r="847" spans="1:15" s="1340" customFormat="1">
      <c r="A847" s="1945"/>
      <c r="B847" s="2201" t="s">
        <v>783</v>
      </c>
      <c r="C847" s="2201"/>
      <c r="D847" s="2201"/>
      <c r="E847" s="2022"/>
      <c r="F847" s="1976"/>
      <c r="G847" s="2022"/>
      <c r="H847" s="2025"/>
      <c r="I847" s="1966"/>
      <c r="J847" s="1965" t="s">
        <v>1649</v>
      </c>
      <c r="K847" s="1920"/>
      <c r="L847" s="1920"/>
      <c r="N847" s="2183"/>
    </row>
    <row r="848" spans="1:15" ht="15.75" thickBot="1">
      <c r="A848" s="1092"/>
      <c r="B848" s="1990"/>
      <c r="C848" s="1990"/>
      <c r="D848" s="1990"/>
      <c r="E848" s="2015"/>
      <c r="F848" s="1982"/>
      <c r="G848" s="2015"/>
      <c r="H848" s="2016"/>
      <c r="I848" s="1989"/>
      <c r="J848" s="1984"/>
      <c r="N848" s="2183"/>
      <c r="O848" s="1340"/>
    </row>
    <row r="849" spans="1:15" ht="15.75" thickBot="1">
      <c r="A849" s="1092"/>
      <c r="B849" s="1981" t="s">
        <v>793</v>
      </c>
      <c r="C849" s="2005" t="s">
        <v>10</v>
      </c>
      <c r="D849" s="2006" t="s">
        <v>11</v>
      </c>
      <c r="E849" s="2006" t="s">
        <v>12</v>
      </c>
      <c r="F849" s="2006" t="s">
        <v>13</v>
      </c>
      <c r="G849" s="2006" t="s">
        <v>14</v>
      </c>
      <c r="H849" s="2007" t="s">
        <v>1835</v>
      </c>
      <c r="I849" s="2190"/>
      <c r="J849" s="2190"/>
      <c r="N849" s="2183"/>
      <c r="O849" s="1340"/>
    </row>
    <row r="850" spans="1:15" ht="33.75" customHeight="1">
      <c r="A850" s="1092"/>
      <c r="B850" s="2017"/>
      <c r="C850" s="2131" t="s">
        <v>794</v>
      </c>
      <c r="D850" s="2003" t="s">
        <v>190</v>
      </c>
      <c r="E850" s="2004">
        <v>225</v>
      </c>
      <c r="F850" s="2003">
        <v>18</v>
      </c>
      <c r="G850" s="2004">
        <v>72</v>
      </c>
      <c r="H850" s="2154">
        <v>116</v>
      </c>
      <c r="I850" s="2195" t="s">
        <v>1825</v>
      </c>
      <c r="J850" s="2195"/>
      <c r="N850" s="2183"/>
      <c r="O850" s="1340"/>
    </row>
    <row r="851" spans="1:15" ht="33.75" customHeight="1">
      <c r="A851" s="1092"/>
      <c r="B851" s="2017"/>
      <c r="C851" s="2132" t="s">
        <v>797</v>
      </c>
      <c r="D851" s="2000" t="s">
        <v>209</v>
      </c>
      <c r="E851" s="2001">
        <v>650</v>
      </c>
      <c r="F851" s="2000">
        <v>6</v>
      </c>
      <c r="G851" s="2001">
        <v>24</v>
      </c>
      <c r="H851" s="2155">
        <v>345</v>
      </c>
      <c r="I851" s="2189" t="s">
        <v>1825</v>
      </c>
      <c r="J851" s="2189"/>
      <c r="N851" s="2183"/>
      <c r="O851" s="1340"/>
    </row>
    <row r="852" spans="1:15">
      <c r="A852" s="1092"/>
      <c r="B852" s="2026"/>
      <c r="C852" s="2043"/>
      <c r="D852" s="1996"/>
      <c r="E852" s="2044"/>
      <c r="F852" s="1996"/>
      <c r="G852" s="2045"/>
      <c r="H852" s="1998"/>
      <c r="I852" s="1947"/>
      <c r="J852" s="1946" t="s">
        <v>1649</v>
      </c>
      <c r="N852" s="2183"/>
      <c r="O852" s="1340"/>
    </row>
    <row r="853" spans="1:15" ht="18.75">
      <c r="A853" s="1092"/>
      <c r="B853" s="1994" t="s">
        <v>1788</v>
      </c>
      <c r="C853" s="1973"/>
      <c r="D853" s="1973"/>
      <c r="E853" s="1927"/>
      <c r="F853" s="1927"/>
      <c r="G853" s="1945"/>
      <c r="H853" s="1946"/>
      <c r="I853" s="1947"/>
      <c r="J853" s="1995" t="s">
        <v>1780</v>
      </c>
      <c r="N853" s="2183"/>
      <c r="O853" s="1340"/>
    </row>
    <row r="854" spans="1:15" s="1340" customFormat="1">
      <c r="A854" s="1945"/>
      <c r="B854" s="1974" t="s">
        <v>1</v>
      </c>
      <c r="C854" s="1975"/>
      <c r="D854" s="1945"/>
      <c r="E854" s="1945"/>
      <c r="F854" s="1976"/>
      <c r="G854" s="1964"/>
      <c r="H854" s="1977"/>
      <c r="I854" s="1966"/>
      <c r="J854" s="1965" t="s">
        <v>1649</v>
      </c>
      <c r="K854" s="1920"/>
      <c r="L854" s="1920"/>
      <c r="N854" s="2183"/>
    </row>
    <row r="855" spans="1:15" s="1340" customFormat="1" ht="27.75" customHeight="1">
      <c r="A855" s="1945"/>
      <c r="B855" s="2192" t="s">
        <v>1782</v>
      </c>
      <c r="C855" s="2192"/>
      <c r="D855" s="2192"/>
      <c r="E855" s="2192"/>
      <c r="F855" s="2192"/>
      <c r="G855" s="2192"/>
      <c r="H855" s="2192"/>
      <c r="I855" s="2192"/>
      <c r="J855" s="2192"/>
      <c r="K855" s="1920"/>
      <c r="L855" s="1920"/>
      <c r="N855" s="2183"/>
    </row>
    <row r="856" spans="1:15" s="1340" customFormat="1">
      <c r="A856" s="1945"/>
      <c r="B856" s="1974" t="s">
        <v>2</v>
      </c>
      <c r="C856" s="1975"/>
      <c r="D856" s="1945"/>
      <c r="E856" s="1945"/>
      <c r="F856" s="1976"/>
      <c r="G856" s="1945"/>
      <c r="H856" s="1965"/>
      <c r="I856" s="1966"/>
      <c r="J856" s="1965" t="s">
        <v>1649</v>
      </c>
      <c r="K856" s="1920"/>
      <c r="L856" s="1920"/>
      <c r="N856" s="2183"/>
    </row>
    <row r="857" spans="1:15" s="1340" customFormat="1">
      <c r="A857" s="1945"/>
      <c r="B857" s="2011" t="s">
        <v>1783</v>
      </c>
      <c r="C857" s="2046"/>
      <c r="D857" s="2046"/>
      <c r="E857" s="2046"/>
      <c r="F857" s="2046"/>
      <c r="G857" s="2046"/>
      <c r="H857" s="2046"/>
      <c r="I857" s="1966"/>
      <c r="J857" s="1965" t="s">
        <v>1649</v>
      </c>
      <c r="K857" s="1920"/>
      <c r="L857" s="1920"/>
      <c r="N857" s="2183"/>
    </row>
    <row r="858" spans="1:15" s="1340" customFormat="1">
      <c r="A858" s="1945"/>
      <c r="B858" s="2011" t="s">
        <v>1873</v>
      </c>
      <c r="C858" s="2046"/>
      <c r="D858" s="2046"/>
      <c r="E858" s="2046"/>
      <c r="F858" s="2046"/>
      <c r="G858" s="2046"/>
      <c r="H858" s="2046"/>
      <c r="I858" s="1966"/>
      <c r="J858" s="1965" t="s">
        <v>1649</v>
      </c>
      <c r="K858" s="1920"/>
      <c r="L858" s="1920"/>
      <c r="N858" s="2183"/>
    </row>
    <row r="859" spans="1:15" s="1340" customFormat="1">
      <c r="A859" s="1945"/>
      <c r="B859" s="1974" t="s">
        <v>5</v>
      </c>
      <c r="C859" s="1975"/>
      <c r="D859" s="1945"/>
      <c r="E859" s="1945"/>
      <c r="F859" s="1976"/>
      <c r="G859" s="1945"/>
      <c r="H859" s="1965"/>
      <c r="I859" s="1966"/>
      <c r="J859" s="1965" t="s">
        <v>1649</v>
      </c>
      <c r="K859" s="1920"/>
      <c r="L859" s="1920"/>
      <c r="N859" s="2183"/>
    </row>
    <row r="860" spans="1:15" s="1340" customFormat="1">
      <c r="A860" s="1945"/>
      <c r="B860" s="1978" t="s">
        <v>607</v>
      </c>
      <c r="C860" s="1979"/>
      <c r="D860" s="1945"/>
      <c r="E860" s="1945"/>
      <c r="F860" s="1976"/>
      <c r="G860" s="1945"/>
      <c r="H860" s="1965"/>
      <c r="I860" s="1966"/>
      <c r="J860" s="1965" t="s">
        <v>1649</v>
      </c>
      <c r="K860" s="1920"/>
      <c r="L860" s="1920"/>
      <c r="N860" s="2183"/>
    </row>
    <row r="861" spans="1:15" s="1340" customFormat="1">
      <c r="A861" s="1945"/>
      <c r="B861" s="1978" t="s">
        <v>775</v>
      </c>
      <c r="C861" s="1979"/>
      <c r="D861" s="1945"/>
      <c r="E861" s="1945"/>
      <c r="F861" s="1976"/>
      <c r="G861" s="1945"/>
      <c r="H861" s="1965"/>
      <c r="I861" s="1966"/>
      <c r="J861" s="1965" t="s">
        <v>1649</v>
      </c>
      <c r="K861" s="1920"/>
      <c r="L861" s="1920"/>
      <c r="N861" s="2183"/>
    </row>
    <row r="862" spans="1:15" s="1340" customFormat="1" ht="12.75" customHeight="1">
      <c r="A862" s="1945"/>
      <c r="B862" s="2024" t="s">
        <v>750</v>
      </c>
      <c r="C862" s="2011"/>
      <c r="D862" s="2011"/>
      <c r="E862" s="1945"/>
      <c r="F862" s="1976"/>
      <c r="G862" s="1945"/>
      <c r="H862" s="1965"/>
      <c r="I862" s="1966"/>
      <c r="J862" s="1965" t="s">
        <v>1649</v>
      </c>
      <c r="K862" s="1920"/>
      <c r="L862" s="1920"/>
      <c r="N862" s="2183"/>
    </row>
    <row r="863" spans="1:15" s="1340" customFormat="1">
      <c r="A863" s="1945"/>
      <c r="B863" s="2201" t="s">
        <v>783</v>
      </c>
      <c r="C863" s="2201"/>
      <c r="D863" s="2201"/>
      <c r="E863" s="1945"/>
      <c r="F863" s="1976"/>
      <c r="G863" s="1945"/>
      <c r="H863" s="1965"/>
      <c r="I863" s="1966"/>
      <c r="J863" s="1965" t="s">
        <v>1649</v>
      </c>
      <c r="K863" s="1920"/>
      <c r="L863" s="1920"/>
      <c r="N863" s="2183"/>
    </row>
    <row r="864" spans="1:15" ht="18" customHeight="1" thickBot="1">
      <c r="A864" s="1092"/>
      <c r="B864" s="2027"/>
      <c r="C864" s="2027"/>
      <c r="D864" s="2027"/>
      <c r="E864" s="1092"/>
      <c r="F864" s="2047"/>
      <c r="G864" s="1945"/>
      <c r="H864" s="1946"/>
      <c r="I864" s="1947"/>
      <c r="J864" s="1946"/>
      <c r="N864" s="2183"/>
      <c r="O864" s="1340"/>
    </row>
    <row r="865" spans="1:15" ht="15.75" thickBot="1">
      <c r="A865" s="1092"/>
      <c r="B865" s="2028" t="s">
        <v>609</v>
      </c>
      <c r="C865" s="2005" t="s">
        <v>10</v>
      </c>
      <c r="D865" s="2006" t="s">
        <v>11</v>
      </c>
      <c r="E865" s="2006" t="s">
        <v>12</v>
      </c>
      <c r="F865" s="2006" t="s">
        <v>13</v>
      </c>
      <c r="G865" s="2006" t="s">
        <v>14</v>
      </c>
      <c r="H865" s="2007" t="s">
        <v>1835</v>
      </c>
      <c r="I865" s="2190"/>
      <c r="J865" s="2190"/>
      <c r="N865" s="2183"/>
      <c r="O865" s="1340"/>
    </row>
    <row r="866" spans="1:15" ht="18" customHeight="1">
      <c r="A866" s="1092"/>
      <c r="B866" s="1943"/>
      <c r="C866" s="2131" t="s">
        <v>1664</v>
      </c>
      <c r="D866" s="2003" t="s">
        <v>190</v>
      </c>
      <c r="E866" s="2004">
        <v>210</v>
      </c>
      <c r="F866" s="2003">
        <v>20</v>
      </c>
      <c r="G866" s="2004">
        <v>80</v>
      </c>
      <c r="H866" s="2154">
        <v>124</v>
      </c>
      <c r="I866" s="2195" t="s">
        <v>1825</v>
      </c>
      <c r="J866" s="2195"/>
      <c r="N866" s="2183"/>
      <c r="O866" s="1340"/>
    </row>
    <row r="867" spans="1:15" ht="18" customHeight="1">
      <c r="A867" s="1092"/>
      <c r="B867" s="1943"/>
      <c r="C867" s="2132" t="s">
        <v>1661</v>
      </c>
      <c r="D867" s="2000" t="s">
        <v>209</v>
      </c>
      <c r="E867" s="2001">
        <v>610</v>
      </c>
      <c r="F867" s="2000">
        <v>6</v>
      </c>
      <c r="G867" s="2001">
        <v>24</v>
      </c>
      <c r="H867" s="2155">
        <v>321</v>
      </c>
      <c r="I867" s="2189" t="s">
        <v>1825</v>
      </c>
      <c r="J867" s="2189"/>
      <c r="N867" s="2183"/>
      <c r="O867" s="1340"/>
    </row>
    <row r="868" spans="1:15" ht="18" customHeight="1">
      <c r="A868" s="1092"/>
      <c r="B868" s="1943"/>
      <c r="C868" s="2131" t="s">
        <v>608</v>
      </c>
      <c r="D868" s="2003" t="s">
        <v>303</v>
      </c>
      <c r="E868" s="2004">
        <v>790</v>
      </c>
      <c r="F868" s="2003">
        <v>6</v>
      </c>
      <c r="G868" s="2004">
        <v>24</v>
      </c>
      <c r="H868" s="2154">
        <v>417</v>
      </c>
      <c r="I868" s="2189" t="s">
        <v>1825</v>
      </c>
      <c r="J868" s="2189"/>
      <c r="N868" s="2183"/>
      <c r="O868" s="1340"/>
    </row>
    <row r="869" spans="1:15" ht="18" customHeight="1">
      <c r="A869" s="1092"/>
      <c r="B869" s="1943"/>
      <c r="C869" s="2132" t="s">
        <v>1660</v>
      </c>
      <c r="D869" s="2000" t="s">
        <v>305</v>
      </c>
      <c r="E869" s="2001">
        <v>1320</v>
      </c>
      <c r="F869" s="2000">
        <v>2</v>
      </c>
      <c r="G869" s="2001">
        <v>16</v>
      </c>
      <c r="H869" s="2155">
        <v>627</v>
      </c>
      <c r="I869" s="2189" t="s">
        <v>1825</v>
      </c>
      <c r="J869" s="2189"/>
      <c r="N869" s="2183"/>
      <c r="O869" s="1340"/>
    </row>
    <row r="870" spans="1:15">
      <c r="A870" s="1092"/>
      <c r="B870" s="1943"/>
      <c r="C870" s="2043"/>
      <c r="D870" s="2048"/>
      <c r="E870" s="2044"/>
      <c r="F870" s="1996"/>
      <c r="G870" s="2045"/>
      <c r="H870" s="1998"/>
      <c r="I870" s="1947"/>
      <c r="J870" s="1946" t="s">
        <v>1649</v>
      </c>
      <c r="N870" s="2183"/>
      <c r="O870" s="1340"/>
    </row>
    <row r="871" spans="1:15">
      <c r="A871" s="1092"/>
      <c r="B871" s="1943"/>
      <c r="C871" s="2043"/>
      <c r="D871" s="2048"/>
      <c r="E871" s="2044"/>
      <c r="F871" s="1996"/>
      <c r="G871" s="2045"/>
      <c r="H871" s="1998"/>
      <c r="I871" s="1947"/>
      <c r="J871" s="1946" t="s">
        <v>1649</v>
      </c>
      <c r="N871" s="2183"/>
      <c r="O871" s="1340"/>
    </row>
    <row r="872" spans="1:15" ht="18.75">
      <c r="A872" s="1092"/>
      <c r="B872" s="1994" t="s">
        <v>126</v>
      </c>
      <c r="C872" s="1973"/>
      <c r="D872" s="1944"/>
      <c r="E872" s="1983"/>
      <c r="F872" s="1983"/>
      <c r="G872" s="1945"/>
      <c r="H872" s="1984"/>
      <c r="I872" s="1947"/>
      <c r="J872" s="1995" t="s">
        <v>1780</v>
      </c>
      <c r="N872" s="2183"/>
      <c r="O872" s="1340"/>
    </row>
    <row r="873" spans="1:15" s="1340" customFormat="1" ht="12" customHeight="1">
      <c r="A873" s="1945"/>
      <c r="B873" s="1974" t="s">
        <v>1</v>
      </c>
      <c r="C873" s="1945"/>
      <c r="D873" s="1945"/>
      <c r="E873" s="1945"/>
      <c r="F873" s="1945"/>
      <c r="G873" s="1964"/>
      <c r="H873" s="1977"/>
      <c r="I873" s="1966"/>
      <c r="J873" s="1965" t="s">
        <v>1649</v>
      </c>
      <c r="K873" s="1920"/>
      <c r="L873" s="1920"/>
      <c r="N873" s="2183"/>
    </row>
    <row r="874" spans="1:15" s="1340" customFormat="1" ht="12" customHeight="1">
      <c r="A874" s="1945"/>
      <c r="B874" s="2192" t="s">
        <v>127</v>
      </c>
      <c r="C874" s="2192"/>
      <c r="D874" s="2192"/>
      <c r="E874" s="2192"/>
      <c r="F874" s="2192"/>
      <c r="G874" s="2192"/>
      <c r="H874" s="2192"/>
      <c r="I874" s="2192"/>
      <c r="J874" s="2192"/>
      <c r="K874" s="1920"/>
      <c r="L874" s="1920"/>
      <c r="N874" s="2183"/>
    </row>
    <row r="875" spans="1:15" s="1340" customFormat="1" ht="12" customHeight="1">
      <c r="A875" s="1945"/>
      <c r="B875" s="1974" t="s">
        <v>2</v>
      </c>
      <c r="C875" s="2053"/>
      <c r="D875" s="1945"/>
      <c r="E875" s="1945"/>
      <c r="F875" s="1945"/>
      <c r="G875" s="1945"/>
      <c r="H875" s="1965"/>
      <c r="I875" s="1966"/>
      <c r="J875" s="1965" t="s">
        <v>1649</v>
      </c>
      <c r="K875" s="1920"/>
      <c r="L875" s="1920"/>
      <c r="N875" s="2183"/>
    </row>
    <row r="876" spans="1:15" s="1340" customFormat="1" ht="12" customHeight="1">
      <c r="A876" s="1945"/>
      <c r="B876" s="2105" t="s">
        <v>128</v>
      </c>
      <c r="C876" s="2105"/>
      <c r="D876" s="2105"/>
      <c r="E876" s="2105"/>
      <c r="F876" s="2105"/>
      <c r="G876" s="2105"/>
      <c r="H876" s="2105"/>
      <c r="I876" s="2105"/>
      <c r="J876" s="2105"/>
      <c r="K876" s="1920"/>
      <c r="L876" s="1920"/>
      <c r="N876" s="2183"/>
    </row>
    <row r="877" spans="1:15" s="1340" customFormat="1" ht="12" customHeight="1">
      <c r="A877" s="1945"/>
      <c r="B877" s="2029" t="s">
        <v>129</v>
      </c>
      <c r="C877" s="2053"/>
      <c r="D877" s="1945"/>
      <c r="E877" s="1945"/>
      <c r="F877" s="1945"/>
      <c r="G877" s="1945"/>
      <c r="H877" s="1965"/>
      <c r="I877" s="1966"/>
      <c r="J877" s="1965" t="s">
        <v>1649</v>
      </c>
      <c r="K877" s="1920"/>
      <c r="L877" s="1920"/>
      <c r="N877" s="2183"/>
    </row>
    <row r="878" spans="1:15" s="1340" customFormat="1" ht="12" customHeight="1">
      <c r="A878" s="1945"/>
      <c r="B878" s="2029" t="s">
        <v>130</v>
      </c>
      <c r="C878" s="1945"/>
      <c r="D878" s="1945"/>
      <c r="E878" s="1945"/>
      <c r="F878" s="1945"/>
      <c r="G878" s="1945"/>
      <c r="H878" s="1965"/>
      <c r="I878" s="1966"/>
      <c r="J878" s="1965" t="s">
        <v>1649</v>
      </c>
      <c r="K878" s="1920"/>
      <c r="L878" s="1920"/>
      <c r="N878" s="2183"/>
    </row>
    <row r="879" spans="1:15" s="1340" customFormat="1" ht="12" customHeight="1">
      <c r="A879" s="1945"/>
      <c r="B879" s="2029" t="s">
        <v>777</v>
      </c>
      <c r="C879" s="1945"/>
      <c r="D879" s="1945"/>
      <c r="E879" s="1945"/>
      <c r="F879" s="1945"/>
      <c r="G879" s="1945"/>
      <c r="H879" s="1965"/>
      <c r="I879" s="1966"/>
      <c r="J879" s="1965" t="s">
        <v>1649</v>
      </c>
      <c r="K879" s="1920"/>
      <c r="L879" s="1920"/>
      <c r="N879" s="2183"/>
    </row>
    <row r="880" spans="1:15" s="1340" customFormat="1" ht="12" customHeight="1">
      <c r="A880" s="1945"/>
      <c r="B880" s="1974" t="s">
        <v>5</v>
      </c>
      <c r="C880" s="1945"/>
      <c r="D880" s="1945"/>
      <c r="E880" s="1945"/>
      <c r="F880" s="1945"/>
      <c r="G880" s="1945"/>
      <c r="H880" s="1965"/>
      <c r="I880" s="1966"/>
      <c r="J880" s="1965" t="s">
        <v>1649</v>
      </c>
      <c r="K880" s="1920"/>
      <c r="L880" s="1920"/>
      <c r="N880" s="2183"/>
    </row>
    <row r="881" spans="1:14" s="1340" customFormat="1" ht="12" customHeight="1">
      <c r="A881" s="1945"/>
      <c r="B881" s="1978" t="s">
        <v>131</v>
      </c>
      <c r="C881" s="1975"/>
      <c r="D881" s="1945"/>
      <c r="E881" s="1945"/>
      <c r="F881" s="1945"/>
      <c r="G881" s="1945"/>
      <c r="H881" s="1965"/>
      <c r="I881" s="1966"/>
      <c r="J881" s="1965" t="s">
        <v>1649</v>
      </c>
      <c r="K881" s="1920"/>
      <c r="L881" s="1920"/>
      <c r="N881" s="2183"/>
    </row>
    <row r="882" spans="1:14" s="1340" customFormat="1" ht="12" customHeight="1">
      <c r="A882" s="1945"/>
      <c r="B882" s="1978" t="s">
        <v>1823</v>
      </c>
      <c r="C882" s="1979"/>
      <c r="D882" s="1945"/>
      <c r="E882" s="1945"/>
      <c r="F882" s="1945"/>
      <c r="G882" s="1945"/>
      <c r="H882" s="1965"/>
      <c r="I882" s="1966"/>
      <c r="J882" s="1965" t="s">
        <v>1649</v>
      </c>
      <c r="K882" s="1920"/>
      <c r="L882" s="1920"/>
      <c r="N882" s="2183"/>
    </row>
    <row r="883" spans="1:14" s="1340" customFormat="1" ht="15.75" thickBot="1">
      <c r="A883" s="1945"/>
      <c r="B883" s="2041" t="s">
        <v>134</v>
      </c>
      <c r="C883" s="1976"/>
      <c r="D883" s="1976" t="s">
        <v>560</v>
      </c>
      <c r="E883" s="1945"/>
      <c r="F883" s="1945"/>
      <c r="G883" s="1945"/>
      <c r="H883" s="1965"/>
      <c r="I883" s="1966"/>
      <c r="J883" s="1965"/>
      <c r="K883" s="1920"/>
      <c r="L883" s="1920"/>
      <c r="N883" s="2183"/>
    </row>
    <row r="884" spans="1:14" s="1340" customFormat="1" ht="15.75" thickBot="1">
      <c r="A884" s="1945"/>
      <c r="B884" s="2029"/>
      <c r="C884" s="2005" t="s">
        <v>10</v>
      </c>
      <c r="D884" s="2006" t="s">
        <v>11</v>
      </c>
      <c r="E884" s="2006" t="s">
        <v>12</v>
      </c>
      <c r="F884" s="2006" t="s">
        <v>13</v>
      </c>
      <c r="G884" s="2006" t="s">
        <v>14</v>
      </c>
      <c r="H884" s="2140" t="s">
        <v>1835</v>
      </c>
      <c r="I884" s="2209"/>
      <c r="J884" s="2209"/>
      <c r="K884" s="1920"/>
      <c r="L884" s="1920"/>
      <c r="N884" s="2183"/>
    </row>
    <row r="885" spans="1:14" s="1340" customFormat="1">
      <c r="A885" s="1945"/>
      <c r="B885" s="2029"/>
      <c r="C885" s="2002" t="s">
        <v>389</v>
      </c>
      <c r="D885" s="2003" t="s">
        <v>376</v>
      </c>
      <c r="E885" s="2004">
        <v>71</v>
      </c>
      <c r="F885" s="2003">
        <v>10</v>
      </c>
      <c r="G885" s="2004">
        <v>250</v>
      </c>
      <c r="H885" s="2154">
        <v>45</v>
      </c>
      <c r="I885" s="2195" t="s">
        <v>1825</v>
      </c>
      <c r="J885" s="2195"/>
      <c r="K885" s="1920"/>
      <c r="L885" s="1920"/>
      <c r="N885" s="2183"/>
    </row>
    <row r="886" spans="1:14" s="1340" customFormat="1">
      <c r="A886" s="1945"/>
      <c r="B886" s="2029"/>
      <c r="C886" s="1999" t="s">
        <v>390</v>
      </c>
      <c r="D886" s="2000" t="s">
        <v>378</v>
      </c>
      <c r="E886" s="2001">
        <v>106</v>
      </c>
      <c r="F886" s="2000">
        <v>10</v>
      </c>
      <c r="G886" s="2001">
        <v>200</v>
      </c>
      <c r="H886" s="2160">
        <v>58</v>
      </c>
      <c r="I886" s="2189" t="s">
        <v>1825</v>
      </c>
      <c r="J886" s="2189"/>
      <c r="K886" s="1920"/>
      <c r="L886" s="1920"/>
      <c r="N886" s="2183"/>
    </row>
    <row r="887" spans="1:14" s="1340" customFormat="1">
      <c r="A887" s="1945"/>
      <c r="B887" s="2029"/>
      <c r="C887" s="2002" t="s">
        <v>393</v>
      </c>
      <c r="D887" s="2003" t="s">
        <v>384</v>
      </c>
      <c r="E887" s="2004">
        <v>185</v>
      </c>
      <c r="F887" s="2003">
        <v>5</v>
      </c>
      <c r="G887" s="2004">
        <v>100</v>
      </c>
      <c r="H887" s="2154">
        <v>109</v>
      </c>
      <c r="I887" s="2189" t="s">
        <v>1825</v>
      </c>
      <c r="J887" s="2189"/>
      <c r="K887" s="1920"/>
      <c r="L887" s="1920"/>
      <c r="N887" s="2183"/>
    </row>
    <row r="888" spans="1:14" s="1340" customFormat="1" ht="15.75" thickBot="1">
      <c r="A888" s="1945"/>
      <c r="B888" s="2041" t="s">
        <v>135</v>
      </c>
      <c r="C888" s="1976"/>
      <c r="D888" s="1976" t="s">
        <v>136</v>
      </c>
      <c r="E888" s="1945"/>
      <c r="F888" s="1945"/>
      <c r="G888" s="1945"/>
      <c r="H888" s="2158"/>
      <c r="I888" s="1966"/>
      <c r="J888" s="1965"/>
      <c r="K888" s="1920"/>
      <c r="L888" s="1920"/>
      <c r="N888" s="2183"/>
    </row>
    <row r="889" spans="1:14" s="1340" customFormat="1" ht="15.75" thickBot="1">
      <c r="A889" s="1945"/>
      <c r="B889" s="2029"/>
      <c r="C889" s="2005" t="s">
        <v>10</v>
      </c>
      <c r="D889" s="2006" t="s">
        <v>11</v>
      </c>
      <c r="E889" s="2006" t="s">
        <v>12</v>
      </c>
      <c r="F889" s="2006" t="s">
        <v>13</v>
      </c>
      <c r="G889" s="2006" t="s">
        <v>14</v>
      </c>
      <c r="H889" s="2140" t="s">
        <v>1835</v>
      </c>
      <c r="I889" s="2190"/>
      <c r="J889" s="2190"/>
      <c r="K889" s="1920"/>
      <c r="L889" s="1920"/>
      <c r="N889" s="2183"/>
    </row>
    <row r="890" spans="1:14" s="1340" customFormat="1">
      <c r="A890" s="1945"/>
      <c r="B890" s="2029"/>
      <c r="C890" s="2002" t="s">
        <v>397</v>
      </c>
      <c r="D890" s="2003">
        <v>20</v>
      </c>
      <c r="E890" s="2004">
        <v>181</v>
      </c>
      <c r="F890" s="2003">
        <v>10</v>
      </c>
      <c r="G890" s="2004">
        <v>100</v>
      </c>
      <c r="H890" s="2154">
        <v>122</v>
      </c>
      <c r="I890" s="2189" t="s">
        <v>1825</v>
      </c>
      <c r="J890" s="2189"/>
      <c r="K890" s="1920"/>
      <c r="L890" s="1920"/>
      <c r="N890" s="2183"/>
    </row>
    <row r="891" spans="1:14" s="1340" customFormat="1">
      <c r="A891" s="1945"/>
      <c r="B891" s="2042"/>
      <c r="C891" s="1999" t="s">
        <v>398</v>
      </c>
      <c r="D891" s="2000">
        <v>26</v>
      </c>
      <c r="E891" s="2001">
        <v>267</v>
      </c>
      <c r="F891" s="2000">
        <v>5</v>
      </c>
      <c r="G891" s="2001">
        <v>50</v>
      </c>
      <c r="H891" s="2160">
        <v>212</v>
      </c>
      <c r="I891" s="2189" t="s">
        <v>1825</v>
      </c>
      <c r="J891" s="2189"/>
      <c r="K891" s="1920"/>
      <c r="L891" s="1920"/>
      <c r="N891" s="2183"/>
    </row>
    <row r="892" spans="1:14" s="1340" customFormat="1">
      <c r="A892" s="1945"/>
      <c r="B892" s="2029"/>
      <c r="C892" s="2002" t="s">
        <v>399</v>
      </c>
      <c r="D892" s="2003">
        <v>32</v>
      </c>
      <c r="E892" s="2004">
        <v>363</v>
      </c>
      <c r="F892" s="2003">
        <v>5</v>
      </c>
      <c r="G892" s="2004">
        <v>30</v>
      </c>
      <c r="H892" s="2154">
        <v>234</v>
      </c>
      <c r="I892" s="2189" t="s">
        <v>1825</v>
      </c>
      <c r="J892" s="2189"/>
      <c r="K892" s="1920"/>
      <c r="L892" s="1920"/>
      <c r="N892" s="2183"/>
    </row>
    <row r="893" spans="1:14" s="1340" customFormat="1">
      <c r="A893" s="1945"/>
      <c r="B893" s="2029"/>
      <c r="C893" s="1999" t="s">
        <v>400</v>
      </c>
      <c r="D893" s="2000" t="s">
        <v>401</v>
      </c>
      <c r="E893" s="2001">
        <v>157</v>
      </c>
      <c r="F893" s="2000">
        <v>10</v>
      </c>
      <c r="G893" s="2001">
        <v>100</v>
      </c>
      <c r="H893" s="2160">
        <v>69</v>
      </c>
      <c r="I893" s="2189" t="s">
        <v>1825</v>
      </c>
      <c r="J893" s="2189"/>
      <c r="K893" s="1920"/>
      <c r="L893" s="1920"/>
      <c r="N893" s="2183"/>
    </row>
    <row r="894" spans="1:14" s="1340" customFormat="1">
      <c r="A894" s="1945"/>
      <c r="B894" s="2029"/>
      <c r="C894" s="2002" t="s">
        <v>1561</v>
      </c>
      <c r="D894" s="2003" t="s">
        <v>403</v>
      </c>
      <c r="E894" s="2004">
        <v>215</v>
      </c>
      <c r="F894" s="2003">
        <v>10</v>
      </c>
      <c r="G894" s="2004">
        <v>50</v>
      </c>
      <c r="H894" s="2154">
        <v>164</v>
      </c>
      <c r="I894" s="2189" t="s">
        <v>1825</v>
      </c>
      <c r="J894" s="2189"/>
      <c r="K894" s="1920"/>
      <c r="L894" s="1920"/>
      <c r="N894" s="2183"/>
    </row>
    <row r="895" spans="1:14" s="1340" customFormat="1">
      <c r="A895" s="1945"/>
      <c r="B895" s="2029"/>
      <c r="C895" s="1999" t="s">
        <v>404</v>
      </c>
      <c r="D895" s="2000" t="s">
        <v>405</v>
      </c>
      <c r="E895" s="2001">
        <v>237</v>
      </c>
      <c r="F895" s="2000">
        <v>10</v>
      </c>
      <c r="G895" s="2001">
        <v>50</v>
      </c>
      <c r="H895" s="2160">
        <v>186</v>
      </c>
      <c r="I895" s="2189" t="s">
        <v>1825</v>
      </c>
      <c r="J895" s="2189"/>
      <c r="K895" s="1920"/>
      <c r="L895" s="1920"/>
      <c r="N895" s="2183"/>
    </row>
    <row r="896" spans="1:14" s="1340" customFormat="1" ht="15.75" thickBot="1">
      <c r="A896" s="1945"/>
      <c r="B896" s="2041" t="s">
        <v>137</v>
      </c>
      <c r="C896" s="1976"/>
      <c r="D896" s="1976" t="s">
        <v>138</v>
      </c>
      <c r="E896" s="1945"/>
      <c r="F896" s="1945"/>
      <c r="G896" s="1964"/>
      <c r="H896" s="2159"/>
      <c r="I896" s="1964"/>
      <c r="J896" s="1965"/>
      <c r="K896" s="1920"/>
      <c r="L896" s="1920"/>
      <c r="N896" s="2183"/>
    </row>
    <row r="897" spans="1:14" s="1340" customFormat="1" ht="15.75" thickBot="1">
      <c r="A897" s="1945"/>
      <c r="B897" s="2029"/>
      <c r="C897" s="2005" t="s">
        <v>10</v>
      </c>
      <c r="D897" s="2006" t="s">
        <v>11</v>
      </c>
      <c r="E897" s="2006" t="s">
        <v>12</v>
      </c>
      <c r="F897" s="2006" t="s">
        <v>13</v>
      </c>
      <c r="G897" s="2006" t="s">
        <v>14</v>
      </c>
      <c r="H897" s="2140" t="s">
        <v>1835</v>
      </c>
      <c r="I897" s="2190"/>
      <c r="J897" s="2190"/>
      <c r="K897" s="1920"/>
      <c r="L897" s="1920"/>
      <c r="N897" s="2183"/>
    </row>
    <row r="898" spans="1:14" s="1340" customFormat="1">
      <c r="A898" s="1945"/>
      <c r="B898" s="2029"/>
      <c r="C898" s="2002" t="s">
        <v>409</v>
      </c>
      <c r="D898" s="2003">
        <v>32</v>
      </c>
      <c r="E898" s="2004">
        <v>603</v>
      </c>
      <c r="F898" s="2003">
        <v>10</v>
      </c>
      <c r="G898" s="2004">
        <v>20</v>
      </c>
      <c r="H898" s="2154">
        <v>389</v>
      </c>
      <c r="I898" s="2189" t="s">
        <v>1825</v>
      </c>
      <c r="J898" s="2189"/>
      <c r="K898" s="1920"/>
      <c r="L898" s="1920"/>
      <c r="N898" s="2183"/>
    </row>
    <row r="899" spans="1:14" s="1340" customFormat="1">
      <c r="A899" s="1945"/>
      <c r="B899" s="2029"/>
      <c r="C899" s="1999" t="s">
        <v>410</v>
      </c>
      <c r="D899" s="2000" t="s">
        <v>411</v>
      </c>
      <c r="E899" s="2001">
        <v>258</v>
      </c>
      <c r="F899" s="2000">
        <v>10</v>
      </c>
      <c r="G899" s="2001">
        <v>80</v>
      </c>
      <c r="H899" s="2160">
        <v>192</v>
      </c>
      <c r="I899" s="2189" t="s">
        <v>1825</v>
      </c>
      <c r="J899" s="2189"/>
      <c r="K899" s="1920"/>
      <c r="L899" s="1920"/>
      <c r="N899" s="2183"/>
    </row>
    <row r="900" spans="1:14" s="1340" customFormat="1">
      <c r="A900" s="1945"/>
      <c r="B900" s="2029"/>
      <c r="C900" s="2002" t="s">
        <v>1557</v>
      </c>
      <c r="D900" s="2003" t="s">
        <v>412</v>
      </c>
      <c r="E900" s="2004">
        <v>350</v>
      </c>
      <c r="F900" s="2003">
        <v>5</v>
      </c>
      <c r="G900" s="2004">
        <v>40</v>
      </c>
      <c r="H900" s="2154">
        <v>272</v>
      </c>
      <c r="I900" s="2189" t="s">
        <v>1825</v>
      </c>
      <c r="J900" s="2189"/>
      <c r="K900" s="1920"/>
      <c r="L900" s="1920"/>
      <c r="N900" s="2183"/>
    </row>
    <row r="901" spans="1:14" s="1340" customFormat="1">
      <c r="A901" s="1945"/>
      <c r="B901" s="2029"/>
      <c r="C901" s="1999" t="s">
        <v>413</v>
      </c>
      <c r="D901" s="2000" t="s">
        <v>414</v>
      </c>
      <c r="E901" s="2001">
        <v>401</v>
      </c>
      <c r="F901" s="2000">
        <v>5</v>
      </c>
      <c r="G901" s="2001">
        <v>40</v>
      </c>
      <c r="H901" s="2160">
        <v>307</v>
      </c>
      <c r="I901" s="2189" t="s">
        <v>1825</v>
      </c>
      <c r="J901" s="2189"/>
      <c r="K901" s="1920"/>
      <c r="L901" s="1920"/>
      <c r="N901" s="2183"/>
    </row>
    <row r="902" spans="1:14" s="1340" customFormat="1">
      <c r="A902" s="1945"/>
      <c r="B902" s="2042"/>
      <c r="C902" s="2002" t="s">
        <v>417</v>
      </c>
      <c r="D902" s="2003" t="s">
        <v>418</v>
      </c>
      <c r="E902" s="2004">
        <v>520</v>
      </c>
      <c r="F902" s="2003">
        <v>5</v>
      </c>
      <c r="G902" s="2004">
        <v>20</v>
      </c>
      <c r="H902" s="2154">
        <v>172</v>
      </c>
      <c r="I902" s="2189" t="s">
        <v>1825</v>
      </c>
      <c r="J902" s="2189"/>
      <c r="K902" s="1920"/>
      <c r="L902" s="1920"/>
      <c r="N902" s="2183"/>
    </row>
    <row r="903" spans="1:14" s="1340" customFormat="1">
      <c r="A903" s="1945"/>
      <c r="B903" s="2029"/>
      <c r="C903" s="1999" t="s">
        <v>421</v>
      </c>
      <c r="D903" s="2000" t="s">
        <v>422</v>
      </c>
      <c r="E903" s="2001">
        <v>201</v>
      </c>
      <c r="F903" s="2000">
        <v>10</v>
      </c>
      <c r="G903" s="2001">
        <v>50</v>
      </c>
      <c r="H903" s="2160">
        <v>125</v>
      </c>
      <c r="I903" s="2189" t="s">
        <v>1825</v>
      </c>
      <c r="J903" s="2189"/>
      <c r="K903" s="1920"/>
      <c r="L903" s="1920"/>
      <c r="N903" s="2183"/>
    </row>
    <row r="904" spans="1:14" s="1340" customFormat="1">
      <c r="A904" s="1945"/>
      <c r="B904" s="2029"/>
      <c r="C904" s="2002" t="s">
        <v>423</v>
      </c>
      <c r="D904" s="2003" t="s">
        <v>424</v>
      </c>
      <c r="E904" s="2004">
        <v>235</v>
      </c>
      <c r="F904" s="2003">
        <v>10</v>
      </c>
      <c r="G904" s="2004">
        <v>50</v>
      </c>
      <c r="H904" s="2154">
        <v>130</v>
      </c>
      <c r="I904" s="2189" t="s">
        <v>1825</v>
      </c>
      <c r="J904" s="2189"/>
      <c r="K904" s="1920"/>
      <c r="L904" s="1920"/>
      <c r="N904" s="2183"/>
    </row>
    <row r="905" spans="1:14" s="1340" customFormat="1">
      <c r="A905" s="1945"/>
      <c r="B905" s="2029"/>
      <c r="C905" s="1999" t="s">
        <v>425</v>
      </c>
      <c r="D905" s="2000" t="s">
        <v>426</v>
      </c>
      <c r="E905" s="2001">
        <v>270</v>
      </c>
      <c r="F905" s="2000">
        <v>10</v>
      </c>
      <c r="G905" s="2001">
        <v>50</v>
      </c>
      <c r="H905" s="2160">
        <v>166</v>
      </c>
      <c r="I905" s="2189" t="s">
        <v>1825</v>
      </c>
      <c r="J905" s="2189"/>
      <c r="K905" s="1920"/>
      <c r="L905" s="1920"/>
      <c r="N905" s="2183"/>
    </row>
    <row r="906" spans="1:14" s="1340" customFormat="1" ht="15.75" thickBot="1">
      <c r="A906" s="1945"/>
      <c r="B906" s="2041" t="s">
        <v>139</v>
      </c>
      <c r="C906" s="1976"/>
      <c r="D906" s="1976" t="s">
        <v>140</v>
      </c>
      <c r="E906" s="1945"/>
      <c r="F906" s="1945"/>
      <c r="G906" s="1945"/>
      <c r="H906" s="2158"/>
      <c r="I906" s="1966"/>
      <c r="J906" s="1965"/>
      <c r="K906" s="1920"/>
      <c r="L906" s="1920"/>
      <c r="N906" s="2183"/>
    </row>
    <row r="907" spans="1:14" s="1340" customFormat="1" ht="15.75" thickBot="1">
      <c r="A907" s="1945"/>
      <c r="B907" s="2029"/>
      <c r="C907" s="2005" t="s">
        <v>10</v>
      </c>
      <c r="D907" s="2006" t="s">
        <v>11</v>
      </c>
      <c r="E907" s="2006" t="s">
        <v>12</v>
      </c>
      <c r="F907" s="2006" t="s">
        <v>13</v>
      </c>
      <c r="G907" s="2006" t="s">
        <v>14</v>
      </c>
      <c r="H907" s="2140" t="s">
        <v>1835</v>
      </c>
      <c r="I907" s="2190" t="s">
        <v>1834</v>
      </c>
      <c r="J907" s="2190"/>
      <c r="K907" s="1920"/>
      <c r="L907" s="1920"/>
      <c r="N907" s="2183"/>
    </row>
    <row r="908" spans="1:14" s="1340" customFormat="1">
      <c r="A908" s="1945"/>
      <c r="B908" s="2029"/>
      <c r="C908" s="2002" t="s">
        <v>428</v>
      </c>
      <c r="D908" s="2003" t="s">
        <v>378</v>
      </c>
      <c r="E908" s="2004">
        <v>160</v>
      </c>
      <c r="F908" s="2003">
        <v>10</v>
      </c>
      <c r="G908" s="2004">
        <v>80</v>
      </c>
      <c r="H908" s="2154">
        <v>135</v>
      </c>
      <c r="I908" s="2189" t="s">
        <v>1825</v>
      </c>
      <c r="J908" s="2189"/>
      <c r="K908" s="1920"/>
      <c r="L908" s="1920"/>
      <c r="N908" s="2183"/>
    </row>
    <row r="909" spans="1:14" s="1340" customFormat="1">
      <c r="A909" s="1945"/>
      <c r="B909" s="2029"/>
      <c r="C909" s="1999" t="s">
        <v>430</v>
      </c>
      <c r="D909" s="2000" t="s">
        <v>382</v>
      </c>
      <c r="E909" s="2001">
        <v>264</v>
      </c>
      <c r="F909" s="2000">
        <v>10</v>
      </c>
      <c r="G909" s="2001">
        <v>50</v>
      </c>
      <c r="H909" s="2160">
        <v>157</v>
      </c>
      <c r="I909" s="2189" t="s">
        <v>1825</v>
      </c>
      <c r="J909" s="2189"/>
      <c r="K909" s="1920"/>
      <c r="L909" s="1920"/>
      <c r="N909" s="2183"/>
    </row>
    <row r="910" spans="1:14" s="1340" customFormat="1">
      <c r="A910" s="1945"/>
      <c r="B910" s="2029"/>
      <c r="C910" s="2002" t="s">
        <v>431</v>
      </c>
      <c r="D910" s="2003" t="s">
        <v>384</v>
      </c>
      <c r="E910" s="2004">
        <v>368</v>
      </c>
      <c r="F910" s="2003">
        <v>10</v>
      </c>
      <c r="G910" s="2004">
        <v>30</v>
      </c>
      <c r="H910" s="2154">
        <v>234</v>
      </c>
      <c r="I910" s="2189" t="s">
        <v>1825</v>
      </c>
      <c r="J910" s="2189"/>
      <c r="K910" s="1920"/>
      <c r="L910" s="1920"/>
      <c r="N910" s="2183"/>
    </row>
    <row r="911" spans="1:14" s="1340" customFormat="1">
      <c r="A911" s="1945"/>
      <c r="B911" s="2029"/>
      <c r="C911" s="1999" t="s">
        <v>432</v>
      </c>
      <c r="D911" s="2000" t="s">
        <v>386</v>
      </c>
      <c r="E911" s="2001">
        <v>412</v>
      </c>
      <c r="F911" s="2000">
        <v>10</v>
      </c>
      <c r="G911" s="2001">
        <v>25</v>
      </c>
      <c r="H911" s="2160">
        <v>257</v>
      </c>
      <c r="I911" s="2189" t="s">
        <v>1825</v>
      </c>
      <c r="J911" s="2189"/>
      <c r="K911" s="1920"/>
      <c r="L911" s="1920"/>
      <c r="N911" s="2183"/>
    </row>
    <row r="912" spans="1:14" s="1340" customFormat="1">
      <c r="A912" s="1945"/>
      <c r="B912" s="2029"/>
      <c r="C912" s="2002" t="s">
        <v>433</v>
      </c>
      <c r="D912" s="2003" t="s">
        <v>388</v>
      </c>
      <c r="E912" s="2004">
        <v>700</v>
      </c>
      <c r="F912" s="2003">
        <v>5</v>
      </c>
      <c r="G912" s="2004">
        <v>20</v>
      </c>
      <c r="H912" s="2154">
        <v>450</v>
      </c>
      <c r="I912" s="2189" t="s">
        <v>1825</v>
      </c>
      <c r="J912" s="2189"/>
      <c r="K912" s="1920"/>
      <c r="L912" s="1920"/>
      <c r="N912" s="2183"/>
    </row>
    <row r="913" spans="1:14" s="1340" customFormat="1" ht="15.75" thickBot="1">
      <c r="A913" s="1945"/>
      <c r="B913" s="2041" t="s">
        <v>141</v>
      </c>
      <c r="C913" s="1976"/>
      <c r="D913" s="1976" t="s">
        <v>142</v>
      </c>
      <c r="E913" s="1945"/>
      <c r="F913" s="1945"/>
      <c r="G913" s="1945"/>
      <c r="H913" s="2158"/>
      <c r="I913" s="1966"/>
      <c r="J913" s="1965"/>
      <c r="K913" s="1920"/>
      <c r="L913" s="1920"/>
      <c r="N913" s="2183"/>
    </row>
    <row r="914" spans="1:14" s="1340" customFormat="1" ht="15.75" thickBot="1">
      <c r="A914" s="1945"/>
      <c r="B914" s="2029"/>
      <c r="C914" s="2005" t="s">
        <v>10</v>
      </c>
      <c r="D914" s="2006" t="s">
        <v>11</v>
      </c>
      <c r="E914" s="2006" t="s">
        <v>12</v>
      </c>
      <c r="F914" s="2006" t="s">
        <v>13</v>
      </c>
      <c r="G914" s="2006" t="s">
        <v>14</v>
      </c>
      <c r="H914" s="2125" t="s">
        <v>1835</v>
      </c>
      <c r="I914" s="2190" t="s">
        <v>1834</v>
      </c>
      <c r="J914" s="2190"/>
      <c r="K914" s="1920"/>
      <c r="L914" s="1920"/>
      <c r="N914" s="2183"/>
    </row>
    <row r="915" spans="1:14" s="1340" customFormat="1">
      <c r="A915" s="1945"/>
      <c r="B915" s="2029"/>
      <c r="C915" s="2002" t="s">
        <v>547</v>
      </c>
      <c r="D915" s="2003" t="s">
        <v>384</v>
      </c>
      <c r="E915" s="2004">
        <v>353</v>
      </c>
      <c r="F915" s="2003">
        <v>5</v>
      </c>
      <c r="G915" s="2004">
        <v>30</v>
      </c>
      <c r="H915" s="2154">
        <v>202</v>
      </c>
      <c r="I915" s="2189" t="s">
        <v>1825</v>
      </c>
      <c r="J915" s="2189"/>
      <c r="K915" s="1920"/>
      <c r="L915" s="1920"/>
      <c r="N915" s="2183"/>
    </row>
    <row r="916" spans="1:14" s="1340" customFormat="1">
      <c r="A916" s="1945"/>
      <c r="B916" s="2029"/>
      <c r="C916" s="1999" t="s">
        <v>436</v>
      </c>
      <c r="D916" s="2000" t="s">
        <v>388</v>
      </c>
      <c r="E916" s="2001">
        <v>575</v>
      </c>
      <c r="F916" s="2000">
        <v>5</v>
      </c>
      <c r="G916" s="2001">
        <v>40</v>
      </c>
      <c r="H916" s="2160">
        <v>364</v>
      </c>
      <c r="I916" s="2189" t="s">
        <v>1825</v>
      </c>
      <c r="J916" s="2189"/>
      <c r="K916" s="1920"/>
      <c r="L916" s="1920"/>
      <c r="N916" s="2183"/>
    </row>
    <row r="917" spans="1:14" s="1340" customFormat="1" ht="15.75" thickBot="1">
      <c r="A917" s="1945"/>
      <c r="B917" s="2041" t="s">
        <v>143</v>
      </c>
      <c r="C917" s="1945"/>
      <c r="D917" s="1976" t="s">
        <v>144</v>
      </c>
      <c r="E917" s="1945"/>
      <c r="F917" s="1945"/>
      <c r="G917" s="1945"/>
      <c r="H917" s="2156"/>
      <c r="I917" s="1966"/>
      <c r="J917" s="1965"/>
      <c r="K917" s="1920"/>
      <c r="L917" s="1920"/>
      <c r="N917" s="2183"/>
    </row>
    <row r="918" spans="1:14" s="1340" customFormat="1" ht="15.75" thickBot="1">
      <c r="A918" s="1945"/>
      <c r="B918" s="2029"/>
      <c r="C918" s="2005" t="s">
        <v>10</v>
      </c>
      <c r="D918" s="2006" t="s">
        <v>11</v>
      </c>
      <c r="E918" s="2006" t="s">
        <v>12</v>
      </c>
      <c r="F918" s="2006" t="s">
        <v>13</v>
      </c>
      <c r="G918" s="2006" t="s">
        <v>14</v>
      </c>
      <c r="H918" s="2125" t="s">
        <v>1835</v>
      </c>
      <c r="I918" s="2190" t="s">
        <v>1834</v>
      </c>
      <c r="J918" s="2190"/>
      <c r="K918" s="1920"/>
      <c r="L918" s="1920"/>
      <c r="N918" s="2183"/>
    </row>
    <row r="919" spans="1:14" s="1340" customFormat="1" ht="33" customHeight="1">
      <c r="A919" s="1945"/>
      <c r="B919" s="2029"/>
      <c r="C919" s="2131" t="s">
        <v>437</v>
      </c>
      <c r="D919" s="2003">
        <v>16</v>
      </c>
      <c r="E919" s="2004">
        <v>234</v>
      </c>
      <c r="F919" s="2003">
        <v>10</v>
      </c>
      <c r="G919" s="2004">
        <v>60</v>
      </c>
      <c r="H919" s="2154">
        <v>151</v>
      </c>
      <c r="I919" s="2189" t="s">
        <v>1825</v>
      </c>
      <c r="J919" s="2189"/>
      <c r="K919" s="1920"/>
      <c r="L919" s="1920"/>
      <c r="N919" s="2183"/>
    </row>
    <row r="920" spans="1:14" s="1340" customFormat="1" ht="15.75" thickBot="1">
      <c r="A920" s="1945"/>
      <c r="B920" s="2041" t="s">
        <v>145</v>
      </c>
      <c r="C920" s="1976"/>
      <c r="D920" s="1976" t="s">
        <v>146</v>
      </c>
      <c r="E920" s="1945"/>
      <c r="F920" s="1945"/>
      <c r="G920" s="1945"/>
      <c r="H920" s="2156"/>
      <c r="I920" s="1966"/>
      <c r="J920" s="1965"/>
      <c r="K920" s="1920"/>
      <c r="L920" s="1920"/>
      <c r="N920" s="2183"/>
    </row>
    <row r="921" spans="1:14" s="1340" customFormat="1" ht="15.75" thickBot="1">
      <c r="A921" s="1945"/>
      <c r="B921" s="2029"/>
      <c r="C921" s="2005" t="s">
        <v>10</v>
      </c>
      <c r="D921" s="2006" t="s">
        <v>11</v>
      </c>
      <c r="E921" s="2006" t="s">
        <v>12</v>
      </c>
      <c r="F921" s="2006" t="s">
        <v>13</v>
      </c>
      <c r="G921" s="2006" t="s">
        <v>14</v>
      </c>
      <c r="H921" s="2125" t="s">
        <v>1835</v>
      </c>
      <c r="I921" s="2190" t="s">
        <v>1834</v>
      </c>
      <c r="J921" s="2190"/>
      <c r="K921" s="1920"/>
      <c r="L921" s="1920"/>
      <c r="N921" s="2183"/>
    </row>
    <row r="922" spans="1:14" s="1340" customFormat="1">
      <c r="A922" s="1945"/>
      <c r="B922" s="2029"/>
      <c r="C922" s="2002" t="s">
        <v>440</v>
      </c>
      <c r="D922" s="2003">
        <v>26</v>
      </c>
      <c r="E922" s="2004">
        <v>306</v>
      </c>
      <c r="F922" s="2003">
        <v>5</v>
      </c>
      <c r="G922" s="2004">
        <v>60</v>
      </c>
      <c r="H922" s="2154">
        <v>186</v>
      </c>
      <c r="I922" s="2189" t="s">
        <v>1825</v>
      </c>
      <c r="J922" s="2189"/>
      <c r="K922" s="1920"/>
      <c r="L922" s="1920"/>
      <c r="N922" s="2183"/>
    </row>
    <row r="923" spans="1:14" s="1340" customFormat="1">
      <c r="A923" s="1945"/>
      <c r="B923" s="2029"/>
      <c r="C923" s="1999" t="s">
        <v>441</v>
      </c>
      <c r="D923" s="2000">
        <v>32</v>
      </c>
      <c r="E923" s="2001">
        <v>430</v>
      </c>
      <c r="F923" s="2000">
        <v>5</v>
      </c>
      <c r="G923" s="2001">
        <v>40</v>
      </c>
      <c r="H923" s="2160">
        <v>287</v>
      </c>
      <c r="I923" s="2189" t="s">
        <v>1825</v>
      </c>
      <c r="J923" s="2189"/>
      <c r="K923" s="1920"/>
      <c r="L923" s="1920"/>
      <c r="N923" s="2183"/>
    </row>
    <row r="924" spans="1:14" s="1340" customFormat="1" ht="15.75" thickBot="1">
      <c r="A924" s="1945"/>
      <c r="B924" s="2041" t="s">
        <v>147</v>
      </c>
      <c r="C924" s="1976"/>
      <c r="D924" s="1976" t="s">
        <v>148</v>
      </c>
      <c r="E924" s="1945"/>
      <c r="F924" s="1945"/>
      <c r="G924" s="1945"/>
      <c r="H924" s="2156"/>
      <c r="I924" s="1966"/>
      <c r="J924" s="1965"/>
      <c r="K924" s="1920"/>
      <c r="L924" s="1920"/>
      <c r="N924" s="2183"/>
    </row>
    <row r="925" spans="1:14" s="1340" customFormat="1" ht="15.75" thickBot="1">
      <c r="A925" s="1945"/>
      <c r="B925" s="2029"/>
      <c r="C925" s="2005" t="s">
        <v>10</v>
      </c>
      <c r="D925" s="2006" t="s">
        <v>11</v>
      </c>
      <c r="E925" s="2006" t="s">
        <v>12</v>
      </c>
      <c r="F925" s="2006" t="s">
        <v>13</v>
      </c>
      <c r="G925" s="2006" t="s">
        <v>14</v>
      </c>
      <c r="H925" s="2125" t="s">
        <v>1835</v>
      </c>
      <c r="I925" s="2190" t="s">
        <v>1834</v>
      </c>
      <c r="J925" s="2190"/>
      <c r="K925" s="1920"/>
      <c r="L925" s="1920"/>
      <c r="N925" s="2183"/>
    </row>
    <row r="926" spans="1:14" s="1340" customFormat="1">
      <c r="A926" s="1945"/>
      <c r="B926" s="2029"/>
      <c r="C926" s="2002" t="s">
        <v>442</v>
      </c>
      <c r="D926" s="2003" t="s">
        <v>376</v>
      </c>
      <c r="E926" s="2004">
        <v>105</v>
      </c>
      <c r="F926" s="2003">
        <v>10</v>
      </c>
      <c r="G926" s="2004">
        <v>150</v>
      </c>
      <c r="H926" s="2154">
        <v>70</v>
      </c>
      <c r="I926" s="2189" t="s">
        <v>1825</v>
      </c>
      <c r="J926" s="2189"/>
      <c r="K926" s="1920"/>
      <c r="L926" s="1920"/>
      <c r="N926" s="2183"/>
    </row>
    <row r="927" spans="1:14" s="1340" customFormat="1">
      <c r="A927" s="1945"/>
      <c r="B927" s="2042"/>
      <c r="C927" s="1999" t="s">
        <v>445</v>
      </c>
      <c r="D927" s="2000" t="s">
        <v>382</v>
      </c>
      <c r="E927" s="2001">
        <v>168</v>
      </c>
      <c r="F927" s="2000">
        <v>10</v>
      </c>
      <c r="G927" s="2001">
        <v>100</v>
      </c>
      <c r="H927" s="2160">
        <v>122</v>
      </c>
      <c r="I927" s="2189" t="s">
        <v>1825</v>
      </c>
      <c r="J927" s="2189"/>
      <c r="K927" s="1920"/>
      <c r="L927" s="1920"/>
      <c r="N927" s="2183"/>
    </row>
    <row r="928" spans="1:14" s="1340" customFormat="1">
      <c r="A928" s="1945"/>
      <c r="B928" s="2029"/>
      <c r="C928" s="2002" t="s">
        <v>446</v>
      </c>
      <c r="D928" s="2003" t="s">
        <v>384</v>
      </c>
      <c r="E928" s="2004">
        <v>210</v>
      </c>
      <c r="F928" s="2003">
        <v>5</v>
      </c>
      <c r="G928" s="2004">
        <v>50</v>
      </c>
      <c r="H928" s="2154">
        <v>137</v>
      </c>
      <c r="I928" s="2189" t="s">
        <v>1825</v>
      </c>
      <c r="J928" s="2189"/>
      <c r="K928" s="1920"/>
      <c r="L928" s="1920"/>
      <c r="N928" s="2183"/>
    </row>
    <row r="929" spans="1:15" s="1340" customFormat="1">
      <c r="A929" s="1945"/>
      <c r="B929" s="2029"/>
      <c r="C929" s="1999" t="s">
        <v>447</v>
      </c>
      <c r="D929" s="2000" t="s">
        <v>386</v>
      </c>
      <c r="E929" s="2001">
        <v>275</v>
      </c>
      <c r="F929" s="2000">
        <v>5</v>
      </c>
      <c r="G929" s="2001">
        <v>50</v>
      </c>
      <c r="H929" s="2160">
        <v>175</v>
      </c>
      <c r="I929" s="2189" t="s">
        <v>1825</v>
      </c>
      <c r="J929" s="2189"/>
      <c r="K929" s="1920"/>
      <c r="L929" s="1920"/>
      <c r="N929" s="2183"/>
    </row>
    <row r="930" spans="1:15" s="1340" customFormat="1">
      <c r="A930" s="1945"/>
      <c r="B930" s="2029"/>
      <c r="C930" s="2002" t="s">
        <v>448</v>
      </c>
      <c r="D930" s="2003" t="s">
        <v>388</v>
      </c>
      <c r="E930" s="2004">
        <v>464</v>
      </c>
      <c r="F930" s="2003">
        <v>5</v>
      </c>
      <c r="G930" s="2004">
        <v>40</v>
      </c>
      <c r="H930" s="2154">
        <v>251</v>
      </c>
      <c r="I930" s="2189" t="s">
        <v>1825</v>
      </c>
      <c r="J930" s="2189"/>
      <c r="K930" s="1920"/>
      <c r="L930" s="1920"/>
      <c r="N930" s="2183"/>
    </row>
    <row r="931" spans="1:15" s="1340" customFormat="1" ht="15.75" thickBot="1">
      <c r="A931" s="1945"/>
      <c r="B931" s="2041" t="s">
        <v>149</v>
      </c>
      <c r="C931" s="1976"/>
      <c r="D931" s="1976" t="s">
        <v>150</v>
      </c>
      <c r="E931" s="1945"/>
      <c r="F931" s="1945"/>
      <c r="G931" s="1945"/>
      <c r="H931" s="2156"/>
      <c r="I931" s="1966"/>
      <c r="J931" s="1965"/>
      <c r="K931" s="1920"/>
      <c r="L931" s="1920"/>
      <c r="N931" s="2183"/>
    </row>
    <row r="932" spans="1:15" s="1340" customFormat="1" ht="15.75" thickBot="1">
      <c r="A932" s="1945"/>
      <c r="B932" s="2029"/>
      <c r="C932" s="2005" t="s">
        <v>10</v>
      </c>
      <c r="D932" s="2006" t="s">
        <v>11</v>
      </c>
      <c r="E932" s="2006" t="s">
        <v>12</v>
      </c>
      <c r="F932" s="2006" t="s">
        <v>13</v>
      </c>
      <c r="G932" s="2006" t="s">
        <v>14</v>
      </c>
      <c r="H932" s="2125" t="s">
        <v>1835</v>
      </c>
      <c r="I932" s="2190" t="s">
        <v>1834</v>
      </c>
      <c r="J932" s="2190"/>
      <c r="K932" s="1920"/>
      <c r="L932" s="1920"/>
      <c r="N932" s="2183"/>
    </row>
    <row r="933" spans="1:15" s="1340" customFormat="1">
      <c r="A933" s="1945"/>
      <c r="B933" s="2029"/>
      <c r="C933" s="2002" t="s">
        <v>450</v>
      </c>
      <c r="D933" s="2003" t="s">
        <v>378</v>
      </c>
      <c r="E933" s="2004">
        <v>122</v>
      </c>
      <c r="F933" s="2003">
        <v>10</v>
      </c>
      <c r="G933" s="2004">
        <v>150</v>
      </c>
      <c r="H933" s="2154">
        <v>71</v>
      </c>
      <c r="I933" s="2189" t="s">
        <v>1825</v>
      </c>
      <c r="J933" s="2189"/>
      <c r="K933" s="1920"/>
      <c r="L933" s="1920"/>
      <c r="N933" s="2183"/>
    </row>
    <row r="934" spans="1:15" s="1340" customFormat="1">
      <c r="A934" s="1945"/>
      <c r="B934" s="2029"/>
      <c r="C934" s="1999" t="s">
        <v>453</v>
      </c>
      <c r="D934" s="2000" t="s">
        <v>384</v>
      </c>
      <c r="E934" s="2001">
        <v>220</v>
      </c>
      <c r="F934" s="2000">
        <v>5</v>
      </c>
      <c r="G934" s="2001">
        <v>50</v>
      </c>
      <c r="H934" s="2160">
        <v>139</v>
      </c>
      <c r="I934" s="2189" t="s">
        <v>1825</v>
      </c>
      <c r="J934" s="2189"/>
      <c r="K934" s="1920"/>
      <c r="L934" s="1920"/>
      <c r="N934" s="2183"/>
    </row>
    <row r="935" spans="1:15" s="1340" customFormat="1">
      <c r="A935" s="1945"/>
      <c r="B935" s="2029"/>
      <c r="C935" s="2002" t="s">
        <v>454</v>
      </c>
      <c r="D935" s="2003" t="s">
        <v>386</v>
      </c>
      <c r="E935" s="2004">
        <v>240</v>
      </c>
      <c r="F935" s="2003">
        <v>5</v>
      </c>
      <c r="G935" s="2004">
        <v>50</v>
      </c>
      <c r="H935" s="2154">
        <v>163</v>
      </c>
      <c r="I935" s="2189" t="s">
        <v>1825</v>
      </c>
      <c r="J935" s="2189"/>
      <c r="K935" s="1920"/>
      <c r="L935" s="1920"/>
      <c r="N935" s="2183"/>
    </row>
    <row r="936" spans="1:15" s="1340" customFormat="1">
      <c r="A936" s="1945"/>
      <c r="B936" s="2029"/>
      <c r="C936" s="1999" t="s">
        <v>455</v>
      </c>
      <c r="D936" s="2000" t="s">
        <v>388</v>
      </c>
      <c r="E936" s="2001">
        <v>370</v>
      </c>
      <c r="F936" s="2000">
        <v>5</v>
      </c>
      <c r="G936" s="2001">
        <v>40</v>
      </c>
      <c r="H936" s="2160">
        <v>198</v>
      </c>
      <c r="I936" s="2189" t="s">
        <v>1825</v>
      </c>
      <c r="J936" s="2189"/>
      <c r="K936" s="1920"/>
      <c r="L936" s="1920"/>
      <c r="N936" s="2183"/>
    </row>
    <row r="937" spans="1:15" s="1340" customFormat="1" ht="15.75" thickBot="1">
      <c r="A937" s="1945"/>
      <c r="B937" s="2041" t="s">
        <v>151</v>
      </c>
      <c r="C937" s="1976"/>
      <c r="D937" s="1976" t="s">
        <v>152</v>
      </c>
      <c r="E937" s="1945" t="s">
        <v>1871</v>
      </c>
      <c r="F937" s="1945"/>
      <c r="G937" s="1945"/>
      <c r="H937" s="2156"/>
      <c r="I937" s="1966"/>
      <c r="J937" s="1965"/>
      <c r="K937" s="1920"/>
      <c r="L937" s="1920"/>
      <c r="N937" s="2183"/>
    </row>
    <row r="938" spans="1:15" s="1340" customFormat="1" ht="15.75" thickBot="1">
      <c r="A938" s="1945"/>
      <c r="B938" s="2029"/>
      <c r="C938" s="2005" t="s">
        <v>10</v>
      </c>
      <c r="D938" s="2006" t="s">
        <v>11</v>
      </c>
      <c r="E938" s="2006" t="s">
        <v>12</v>
      </c>
      <c r="F938" s="2006" t="s">
        <v>13</v>
      </c>
      <c r="G938" s="2006" t="s">
        <v>14</v>
      </c>
      <c r="H938" s="2125" t="s">
        <v>1835</v>
      </c>
      <c r="I938" s="2190" t="s">
        <v>1834</v>
      </c>
      <c r="J938" s="2190"/>
      <c r="K938" s="1920"/>
      <c r="L938" s="1920"/>
      <c r="N938" s="2183"/>
    </row>
    <row r="939" spans="1:15" s="1340" customFormat="1">
      <c r="A939" s="1945"/>
      <c r="B939" s="2029"/>
      <c r="C939" s="2002" t="s">
        <v>457</v>
      </c>
      <c r="D939" s="2003" t="s">
        <v>380</v>
      </c>
      <c r="E939" s="2004">
        <v>175</v>
      </c>
      <c r="F939" s="2003">
        <v>10</v>
      </c>
      <c r="G939" s="2004">
        <v>80</v>
      </c>
      <c r="H939" s="2154">
        <v>115</v>
      </c>
      <c r="I939" s="2189" t="s">
        <v>1825</v>
      </c>
      <c r="J939" s="2189"/>
      <c r="K939" s="1920"/>
      <c r="L939" s="1920"/>
      <c r="N939" s="2183"/>
    </row>
    <row r="940" spans="1:15" s="1340" customFormat="1" ht="19.5" customHeight="1">
      <c r="A940" s="1945"/>
      <c r="B940" s="2029"/>
      <c r="C940" s="2128"/>
      <c r="D940" s="2129"/>
      <c r="E940" s="2129"/>
      <c r="F940" s="2129"/>
      <c r="G940" s="2129"/>
      <c r="H940" s="2130"/>
      <c r="I940"/>
      <c r="J940" s="2130"/>
      <c r="K940" s="1920"/>
      <c r="L940" s="1920"/>
      <c r="N940" s="2183"/>
    </row>
    <row r="941" spans="1:15" ht="18.75">
      <c r="A941" s="1092"/>
      <c r="B941" s="1994" t="s">
        <v>153</v>
      </c>
      <c r="C941" s="1973"/>
      <c r="D941" s="1944"/>
      <c r="E941" s="1983"/>
      <c r="F941" s="1983"/>
      <c r="G941" s="1945"/>
      <c r="H941" s="1984"/>
      <c r="I941" s="1947"/>
      <c r="J941" s="1995" t="s">
        <v>1780</v>
      </c>
      <c r="N941" s="2183"/>
      <c r="O941" s="1340"/>
    </row>
    <row r="942" spans="1:15" s="1340" customFormat="1">
      <c r="A942" s="1945"/>
      <c r="B942" s="1974" t="s">
        <v>1</v>
      </c>
      <c r="C942" s="1975"/>
      <c r="D942" s="1945"/>
      <c r="E942" s="1976"/>
      <c r="F942" s="1976"/>
      <c r="G942" s="1964"/>
      <c r="H942" s="1977"/>
      <c r="I942" s="1966"/>
      <c r="J942" s="1965" t="s">
        <v>1649</v>
      </c>
      <c r="K942" s="1920"/>
      <c r="L942" s="1920"/>
      <c r="N942" s="2183"/>
    </row>
    <row r="943" spans="1:15" s="1340" customFormat="1" ht="24.75" customHeight="1">
      <c r="A943" s="1945"/>
      <c r="B943" s="2192" t="s">
        <v>1824</v>
      </c>
      <c r="C943" s="2192"/>
      <c r="D943" s="2192"/>
      <c r="E943" s="2192"/>
      <c r="F943" s="2192"/>
      <c r="G943" s="2192"/>
      <c r="H943" s="2192"/>
      <c r="I943" s="2192"/>
      <c r="J943" s="2192"/>
      <c r="K943" s="1920"/>
      <c r="L943" s="1920"/>
      <c r="N943" s="2183"/>
    </row>
    <row r="944" spans="1:15" s="1340" customFormat="1" ht="12.75" customHeight="1">
      <c r="A944" s="1945"/>
      <c r="B944" s="1974" t="s">
        <v>2</v>
      </c>
      <c r="C944" s="1975"/>
      <c r="D944" s="1945"/>
      <c r="E944" s="1976"/>
      <c r="F944" s="1976"/>
      <c r="G944" s="1945"/>
      <c r="H944" s="1965"/>
      <c r="I944" s="1966"/>
      <c r="J944" s="1965" t="s">
        <v>1649</v>
      </c>
      <c r="K944" s="1920"/>
      <c r="L944" s="1920"/>
      <c r="N944" s="2183"/>
    </row>
    <row r="945" spans="1:14" s="1340" customFormat="1" ht="12.75" customHeight="1">
      <c r="A945" s="1945"/>
      <c r="B945" s="2029" t="s">
        <v>154</v>
      </c>
      <c r="C945" s="1945"/>
      <c r="D945" s="1945"/>
      <c r="E945" s="1976"/>
      <c r="F945" s="1976"/>
      <c r="G945" s="1945"/>
      <c r="H945" s="1965"/>
      <c r="I945" s="1966"/>
      <c r="J945" s="1965" t="s">
        <v>1649</v>
      </c>
      <c r="K945" s="1920"/>
      <c r="L945" s="1920"/>
      <c r="N945" s="2183"/>
    </row>
    <row r="946" spans="1:14" s="1340" customFormat="1" ht="12.75" customHeight="1">
      <c r="A946" s="1945"/>
      <c r="B946" s="2105" t="s">
        <v>564</v>
      </c>
      <c r="C946" s="2105"/>
      <c r="D946" s="2105"/>
      <c r="E946" s="2105"/>
      <c r="F946" s="2105"/>
      <c r="G946" s="2105"/>
      <c r="H946" s="2105"/>
      <c r="I946" s="2105"/>
      <c r="J946" s="2105"/>
      <c r="K946" s="1920"/>
      <c r="L946" s="1920"/>
      <c r="N946" s="2183"/>
    </row>
    <row r="947" spans="1:14" s="1340" customFormat="1" ht="12.75" customHeight="1">
      <c r="A947" s="1945"/>
      <c r="B947" s="2029" t="s">
        <v>774</v>
      </c>
      <c r="C947" s="1945"/>
      <c r="D947" s="1945"/>
      <c r="E947" s="1976"/>
      <c r="F947" s="1976"/>
      <c r="G947" s="1945"/>
      <c r="H947" s="1965"/>
      <c r="I947" s="1966"/>
      <c r="J947" s="1965" t="s">
        <v>1649</v>
      </c>
      <c r="K947" s="1920"/>
      <c r="L947" s="1920"/>
      <c r="N947" s="2183"/>
    </row>
    <row r="948" spans="1:14" s="1340" customFormat="1" ht="12" customHeight="1">
      <c r="A948" s="1945"/>
      <c r="B948" s="1974" t="s">
        <v>5</v>
      </c>
      <c r="C948" s="1975"/>
      <c r="D948" s="1945"/>
      <c r="E948" s="1976"/>
      <c r="F948" s="1976"/>
      <c r="G948" s="1945"/>
      <c r="H948" s="1965"/>
      <c r="I948" s="1966"/>
      <c r="J948" s="1965" t="s">
        <v>1649</v>
      </c>
      <c r="K948" s="1920"/>
      <c r="L948" s="1920"/>
      <c r="N948" s="2183"/>
    </row>
    <row r="949" spans="1:14" s="1340" customFormat="1" ht="12" customHeight="1">
      <c r="A949" s="1945"/>
      <c r="B949" s="1978" t="s">
        <v>131</v>
      </c>
      <c r="C949" s="1979"/>
      <c r="D949" s="1945"/>
      <c r="E949" s="1976"/>
      <c r="F949" s="1976"/>
      <c r="G949" s="1945"/>
      <c r="H949" s="1965"/>
      <c r="I949" s="1966"/>
      <c r="J949" s="1965" t="s">
        <v>1649</v>
      </c>
      <c r="K949" s="1920"/>
      <c r="L949" s="1920"/>
      <c r="N949" s="2183"/>
    </row>
    <row r="950" spans="1:14" s="1340" customFormat="1" ht="12" customHeight="1">
      <c r="A950" s="1945"/>
      <c r="B950" s="1978" t="s">
        <v>1823</v>
      </c>
      <c r="C950" s="1979"/>
      <c r="D950" s="1945"/>
      <c r="E950" s="1945"/>
      <c r="F950" s="1945"/>
      <c r="G950" s="1945"/>
      <c r="H950" s="1965"/>
      <c r="I950" s="1966"/>
      <c r="J950" s="1965" t="s">
        <v>1649</v>
      </c>
      <c r="K950" s="1920"/>
      <c r="L950" s="1920"/>
      <c r="N950" s="2183"/>
    </row>
    <row r="951" spans="1:14" s="1340" customFormat="1" ht="15.75" thickBot="1">
      <c r="A951" s="1945"/>
      <c r="B951" s="2041" t="s">
        <v>155</v>
      </c>
      <c r="C951" s="1976"/>
      <c r="D951" s="1976" t="s">
        <v>744</v>
      </c>
      <c r="E951" s="1945"/>
      <c r="F951" s="1945"/>
      <c r="G951" s="1945"/>
      <c r="H951" s="1965"/>
      <c r="I951" s="1966"/>
      <c r="J951" s="1965" t="s">
        <v>1649</v>
      </c>
      <c r="K951" s="1920"/>
      <c r="L951" s="1920"/>
      <c r="N951" s="2183"/>
    </row>
    <row r="952" spans="1:14" s="1340" customFormat="1" ht="14.25" customHeight="1" thickBot="1">
      <c r="A952" s="1945"/>
      <c r="B952" s="2029"/>
      <c r="C952" s="2005" t="s">
        <v>10</v>
      </c>
      <c r="D952" s="2006" t="s">
        <v>11</v>
      </c>
      <c r="E952" s="2006" t="s">
        <v>12</v>
      </c>
      <c r="F952" s="2006" t="s">
        <v>13</v>
      </c>
      <c r="G952" s="2006" t="s">
        <v>14</v>
      </c>
      <c r="H952" s="2125" t="s">
        <v>1835</v>
      </c>
      <c r="I952" s="2190" t="s">
        <v>1834</v>
      </c>
      <c r="J952" s="2190"/>
      <c r="K952" s="1920"/>
      <c r="L952" s="1920"/>
      <c r="N952" s="2183"/>
    </row>
    <row r="953" spans="1:14" s="1340" customFormat="1" ht="14.25" customHeight="1">
      <c r="A953" s="1945"/>
      <c r="B953" s="2029"/>
      <c r="C953" s="2002" t="s">
        <v>459</v>
      </c>
      <c r="D953" s="2003" t="s">
        <v>378</v>
      </c>
      <c r="E953" s="2004">
        <v>68</v>
      </c>
      <c r="F953" s="2003">
        <v>10</v>
      </c>
      <c r="G953" s="2004">
        <v>150</v>
      </c>
      <c r="H953" s="2154">
        <v>54</v>
      </c>
      <c r="I953" s="2189" t="s">
        <v>1825</v>
      </c>
      <c r="J953" s="2189"/>
      <c r="K953" s="1920"/>
      <c r="L953" s="1920"/>
      <c r="N953" s="2183"/>
    </row>
    <row r="954" spans="1:14" s="1340" customFormat="1" ht="14.25" customHeight="1">
      <c r="A954" s="1945"/>
      <c r="B954" s="2042"/>
      <c r="C954" s="1999" t="s">
        <v>460</v>
      </c>
      <c r="D954" s="2000" t="s">
        <v>380</v>
      </c>
      <c r="E954" s="2001">
        <v>60</v>
      </c>
      <c r="F954" s="2000">
        <v>10</v>
      </c>
      <c r="G954" s="2001">
        <v>150</v>
      </c>
      <c r="H954" s="2160">
        <v>45</v>
      </c>
      <c r="I954" s="2189" t="s">
        <v>1825</v>
      </c>
      <c r="J954" s="2189"/>
      <c r="K954" s="1920"/>
      <c r="L954" s="1920"/>
      <c r="N954" s="2183"/>
    </row>
    <row r="955" spans="1:14" s="1340" customFormat="1" ht="14.25" customHeight="1" thickBot="1">
      <c r="A955" s="1945"/>
      <c r="B955" s="2041" t="s">
        <v>156</v>
      </c>
      <c r="C955" s="1976"/>
      <c r="D955" s="1976" t="s">
        <v>745</v>
      </c>
      <c r="E955" s="1945"/>
      <c r="F955" s="1945"/>
      <c r="G955" s="1945"/>
      <c r="H955" s="2156"/>
      <c r="I955" s="1966"/>
      <c r="J955" s="1965"/>
      <c r="K955" s="1920"/>
      <c r="L955" s="1920"/>
      <c r="N955" s="2183"/>
    </row>
    <row r="956" spans="1:14" s="1340" customFormat="1" ht="14.25" customHeight="1" thickBot="1">
      <c r="A956" s="1945"/>
      <c r="B956" s="2029"/>
      <c r="C956" s="2005" t="s">
        <v>10</v>
      </c>
      <c r="D956" s="2006" t="s">
        <v>11</v>
      </c>
      <c r="E956" s="2006" t="s">
        <v>12</v>
      </c>
      <c r="F956" s="2006" t="s">
        <v>13</v>
      </c>
      <c r="G956" s="2006" t="s">
        <v>14</v>
      </c>
      <c r="H956" s="2125" t="s">
        <v>1835</v>
      </c>
      <c r="I956" s="2190" t="s">
        <v>1834</v>
      </c>
      <c r="J956" s="2190"/>
      <c r="K956" s="1920"/>
      <c r="L956" s="1920"/>
      <c r="N956" s="2183"/>
    </row>
    <row r="957" spans="1:14" s="1340" customFormat="1" ht="14.25" customHeight="1">
      <c r="A957" s="1945"/>
      <c r="B957" s="2029"/>
      <c r="C957" s="2002" t="s">
        <v>465</v>
      </c>
      <c r="D957" s="2003" t="s">
        <v>376</v>
      </c>
      <c r="E957" s="2004">
        <v>63</v>
      </c>
      <c r="F957" s="2003">
        <v>10</v>
      </c>
      <c r="G957" s="2004">
        <v>200</v>
      </c>
      <c r="H957" s="2154">
        <v>47</v>
      </c>
      <c r="I957" s="2189" t="s">
        <v>1825</v>
      </c>
      <c r="J957" s="2189"/>
      <c r="K957" s="1920"/>
      <c r="L957" s="1920"/>
      <c r="N957" s="2183"/>
    </row>
    <row r="958" spans="1:14" s="1340" customFormat="1" ht="14.25" customHeight="1">
      <c r="A958" s="1945"/>
      <c r="B958" s="2029"/>
      <c r="C958" s="1999" t="s">
        <v>466</v>
      </c>
      <c r="D958" s="2000" t="s">
        <v>378</v>
      </c>
      <c r="E958" s="2001">
        <v>89</v>
      </c>
      <c r="F958" s="2000">
        <v>10</v>
      </c>
      <c r="G958" s="2001">
        <v>150</v>
      </c>
      <c r="H958" s="2160">
        <v>64</v>
      </c>
      <c r="I958" s="2189" t="s">
        <v>1825</v>
      </c>
      <c r="J958" s="2189"/>
      <c r="K958" s="1920"/>
      <c r="L958" s="1920"/>
      <c r="N958" s="2183"/>
    </row>
    <row r="959" spans="1:14" s="1340" customFormat="1" ht="14.25" customHeight="1">
      <c r="A959" s="1945"/>
      <c r="B959" s="2042"/>
      <c r="C959" s="2002" t="s">
        <v>468</v>
      </c>
      <c r="D959" s="2003" t="s">
        <v>382</v>
      </c>
      <c r="E959" s="2004">
        <v>85</v>
      </c>
      <c r="F959" s="2003">
        <v>10</v>
      </c>
      <c r="G959" s="2004">
        <v>150</v>
      </c>
      <c r="H959" s="2154">
        <v>58</v>
      </c>
      <c r="I959" s="2189" t="s">
        <v>1825</v>
      </c>
      <c r="J959" s="2189"/>
      <c r="K959" s="1920"/>
      <c r="L959" s="1920"/>
      <c r="N959" s="2183"/>
    </row>
    <row r="960" spans="1:14" s="1340" customFormat="1" ht="14.25" customHeight="1">
      <c r="A960" s="1945"/>
      <c r="B960" s="2029"/>
      <c r="C960" s="1999" t="s">
        <v>469</v>
      </c>
      <c r="D960" s="2000" t="s">
        <v>384</v>
      </c>
      <c r="E960" s="2001">
        <v>110</v>
      </c>
      <c r="F960" s="2000">
        <v>5</v>
      </c>
      <c r="G960" s="2001">
        <v>100</v>
      </c>
      <c r="H960" s="2160">
        <v>83</v>
      </c>
      <c r="I960" s="2189" t="s">
        <v>1825</v>
      </c>
      <c r="J960" s="2189"/>
      <c r="K960" s="1920"/>
      <c r="L960" s="1920"/>
      <c r="N960" s="2183"/>
    </row>
    <row r="961" spans="1:14" s="1340" customFormat="1" ht="14.25" customHeight="1">
      <c r="A961" s="1945"/>
      <c r="B961" s="2029"/>
      <c r="C961" s="2002" t="s">
        <v>470</v>
      </c>
      <c r="D961" s="2003" t="s">
        <v>386</v>
      </c>
      <c r="E961" s="2004">
        <v>144</v>
      </c>
      <c r="F961" s="2003">
        <v>5</v>
      </c>
      <c r="G961" s="2004">
        <v>80</v>
      </c>
      <c r="H961" s="2154">
        <v>122</v>
      </c>
      <c r="I961" s="2189" t="s">
        <v>1825</v>
      </c>
      <c r="J961" s="2189"/>
      <c r="K961" s="1920"/>
      <c r="L961" s="1920"/>
      <c r="N961" s="2183"/>
    </row>
    <row r="962" spans="1:14" s="1340" customFormat="1" ht="14.25" customHeight="1">
      <c r="A962" s="1945"/>
      <c r="B962" s="2029"/>
      <c r="C962" s="1999" t="s">
        <v>471</v>
      </c>
      <c r="D962" s="2000" t="s">
        <v>388</v>
      </c>
      <c r="E962" s="2001">
        <v>180</v>
      </c>
      <c r="F962" s="2000">
        <v>5</v>
      </c>
      <c r="G962" s="2001">
        <v>50</v>
      </c>
      <c r="H962" s="2160">
        <v>136</v>
      </c>
      <c r="I962" s="2189" t="s">
        <v>1825</v>
      </c>
      <c r="J962" s="2189"/>
      <c r="K962" s="1920"/>
      <c r="L962" s="1920"/>
      <c r="N962" s="2183"/>
    </row>
    <row r="963" spans="1:14" s="1340" customFormat="1" ht="14.25" customHeight="1" thickBot="1">
      <c r="A963" s="1945"/>
      <c r="B963" s="2041" t="s">
        <v>157</v>
      </c>
      <c r="C963" s="1976"/>
      <c r="D963" s="1976" t="s">
        <v>158</v>
      </c>
      <c r="E963" s="1945"/>
      <c r="F963" s="1945"/>
      <c r="G963" s="1945"/>
      <c r="H963" s="2156"/>
      <c r="I963" s="1966"/>
      <c r="J963" s="1965"/>
      <c r="K963" s="1920"/>
      <c r="L963" s="1920"/>
      <c r="N963" s="2183"/>
    </row>
    <row r="964" spans="1:14" s="1340" customFormat="1" ht="14.25" customHeight="1" thickBot="1">
      <c r="A964" s="1945"/>
      <c r="B964" s="2029"/>
      <c r="C964" s="2005" t="s">
        <v>10</v>
      </c>
      <c r="D964" s="2006" t="s">
        <v>11</v>
      </c>
      <c r="E964" s="2006" t="s">
        <v>12</v>
      </c>
      <c r="F964" s="2006" t="s">
        <v>13</v>
      </c>
      <c r="G964" s="2006" t="s">
        <v>14</v>
      </c>
      <c r="H964" s="2125" t="s">
        <v>1835</v>
      </c>
      <c r="I964" s="2190" t="s">
        <v>1834</v>
      </c>
      <c r="J964" s="2190"/>
      <c r="K964" s="1920"/>
      <c r="L964" s="1920"/>
      <c r="N964" s="2183"/>
    </row>
    <row r="965" spans="1:14" s="1340" customFormat="1" ht="14.25" customHeight="1">
      <c r="A965" s="1945"/>
      <c r="B965" s="2042"/>
      <c r="C965" s="2002" t="s">
        <v>473</v>
      </c>
      <c r="D965" s="2003">
        <v>20</v>
      </c>
      <c r="E965" s="2004">
        <v>75</v>
      </c>
      <c r="F965" s="2003">
        <v>10</v>
      </c>
      <c r="G965" s="2004">
        <v>150</v>
      </c>
      <c r="H965" s="2154">
        <v>58</v>
      </c>
      <c r="I965" s="2189" t="s">
        <v>1825</v>
      </c>
      <c r="J965" s="2189"/>
      <c r="K965" s="1920"/>
      <c r="L965" s="1920"/>
      <c r="N965" s="2183"/>
    </row>
    <row r="966" spans="1:14" s="1340" customFormat="1" ht="14.25" customHeight="1">
      <c r="A966" s="1945"/>
      <c r="B966" s="2029"/>
      <c r="C966" s="1999" t="s">
        <v>475</v>
      </c>
      <c r="D966" s="2000">
        <v>32</v>
      </c>
      <c r="E966" s="2001">
        <v>150</v>
      </c>
      <c r="F966" s="2000">
        <v>5</v>
      </c>
      <c r="G966" s="2001">
        <v>30</v>
      </c>
      <c r="H966" s="2160">
        <v>111</v>
      </c>
      <c r="I966" s="2189" t="s">
        <v>1825</v>
      </c>
      <c r="J966" s="2189"/>
      <c r="K966" s="1920"/>
      <c r="L966" s="1920"/>
      <c r="N966" s="2183"/>
    </row>
    <row r="967" spans="1:14" s="1340" customFormat="1" ht="14.25" customHeight="1" thickBot="1">
      <c r="A967" s="1945"/>
      <c r="B967" s="2041" t="s">
        <v>157</v>
      </c>
      <c r="C967" s="1976"/>
      <c r="D967" s="1976" t="s">
        <v>159</v>
      </c>
      <c r="E967" s="1945"/>
      <c r="F967" s="1945"/>
      <c r="G967" s="1964"/>
      <c r="H967" s="2157"/>
      <c r="I967" s="1966"/>
      <c r="J967" s="1965"/>
      <c r="K967" s="1920"/>
      <c r="L967" s="1920"/>
      <c r="N967" s="2183"/>
    </row>
    <row r="968" spans="1:14" s="1340" customFormat="1" ht="14.25" customHeight="1" thickBot="1">
      <c r="A968" s="1945"/>
      <c r="B968" s="2029"/>
      <c r="C968" s="2005" t="s">
        <v>10</v>
      </c>
      <c r="D968" s="2006" t="s">
        <v>11</v>
      </c>
      <c r="E968" s="2006" t="s">
        <v>12</v>
      </c>
      <c r="F968" s="2006" t="s">
        <v>13</v>
      </c>
      <c r="G968" s="2006" t="s">
        <v>14</v>
      </c>
      <c r="H968" s="2125" t="s">
        <v>1835</v>
      </c>
      <c r="I968" s="2190" t="s">
        <v>1834</v>
      </c>
      <c r="J968" s="2190"/>
      <c r="K968" s="1920"/>
      <c r="L968" s="1920"/>
      <c r="N968" s="2183"/>
    </row>
    <row r="969" spans="1:14" s="1340" customFormat="1" ht="14.25" customHeight="1">
      <c r="A969" s="1945"/>
      <c r="B969" s="2029"/>
      <c r="C969" s="2002" t="s">
        <v>476</v>
      </c>
      <c r="D969" s="2003" t="s">
        <v>401</v>
      </c>
      <c r="E969" s="2004">
        <v>64</v>
      </c>
      <c r="F969" s="2003">
        <v>10</v>
      </c>
      <c r="G969" s="2004">
        <v>150</v>
      </c>
      <c r="H969" s="2154">
        <v>51</v>
      </c>
      <c r="I969" s="2189" t="s">
        <v>1825</v>
      </c>
      <c r="J969" s="2189"/>
      <c r="K969" s="1920"/>
      <c r="L969" s="1920"/>
      <c r="N969" s="2183"/>
    </row>
    <row r="970" spans="1:14" s="1340" customFormat="1" ht="14.25" customHeight="1">
      <c r="A970" s="1945"/>
      <c r="B970" s="2029"/>
      <c r="C970" s="1999" t="s">
        <v>477</v>
      </c>
      <c r="D970" s="2000" t="s">
        <v>403</v>
      </c>
      <c r="E970" s="2001">
        <v>82</v>
      </c>
      <c r="F970" s="2000">
        <v>10</v>
      </c>
      <c r="G970" s="2001">
        <v>120</v>
      </c>
      <c r="H970" s="2160">
        <v>55</v>
      </c>
      <c r="I970" s="2189" t="s">
        <v>1825</v>
      </c>
      <c r="J970" s="2189"/>
      <c r="K970" s="1920"/>
      <c r="L970" s="1920"/>
      <c r="N970" s="2183"/>
    </row>
    <row r="971" spans="1:14" s="1340" customFormat="1" ht="14.25" customHeight="1">
      <c r="A971" s="1945"/>
      <c r="B971" s="2042"/>
      <c r="C971" s="2002" t="s">
        <v>548</v>
      </c>
      <c r="D971" s="2003" t="s">
        <v>550</v>
      </c>
      <c r="E971" s="2004">
        <v>122</v>
      </c>
      <c r="F971" s="2003">
        <v>5</v>
      </c>
      <c r="G971" s="2004">
        <v>80</v>
      </c>
      <c r="H971" s="2154">
        <v>86</v>
      </c>
      <c r="I971" s="2189" t="s">
        <v>1825</v>
      </c>
      <c r="J971" s="2189"/>
      <c r="K971" s="1920"/>
      <c r="L971" s="1920"/>
      <c r="N971" s="2183"/>
    </row>
    <row r="972" spans="1:14" s="1340" customFormat="1" ht="14.25" customHeight="1">
      <c r="A972" s="1945"/>
      <c r="B972" s="2042"/>
      <c r="C972" s="1999" t="s">
        <v>549</v>
      </c>
      <c r="D972" s="2000" t="s">
        <v>551</v>
      </c>
      <c r="E972" s="2001">
        <v>128</v>
      </c>
      <c r="F972" s="2000">
        <v>5</v>
      </c>
      <c r="G972" s="2001">
        <v>80</v>
      </c>
      <c r="H972" s="2160">
        <v>91</v>
      </c>
      <c r="I972" s="2189" t="s">
        <v>1825</v>
      </c>
      <c r="J972" s="2189"/>
      <c r="K972" s="1920"/>
      <c r="L972" s="1920"/>
      <c r="N972" s="2183"/>
    </row>
    <row r="973" spans="1:14" s="1340" customFormat="1" ht="14.25" customHeight="1" thickBot="1">
      <c r="A973" s="1945"/>
      <c r="B973" s="2041" t="s">
        <v>160</v>
      </c>
      <c r="C973" s="1976"/>
      <c r="D973" s="1976" t="s">
        <v>161</v>
      </c>
      <c r="E973" s="1945"/>
      <c r="F973" s="1945"/>
      <c r="G973" s="1945"/>
      <c r="H973" s="2156"/>
      <c r="I973" s="1966"/>
      <c r="J973" s="1965"/>
      <c r="K973" s="1920"/>
      <c r="L973" s="1920"/>
      <c r="N973" s="2183"/>
    </row>
    <row r="974" spans="1:14" s="1340" customFormat="1" ht="14.25" customHeight="1" thickBot="1">
      <c r="A974" s="1945"/>
      <c r="B974" s="2029"/>
      <c r="C974" s="2005" t="s">
        <v>10</v>
      </c>
      <c r="D974" s="2006" t="s">
        <v>11</v>
      </c>
      <c r="E974" s="2006" t="s">
        <v>12</v>
      </c>
      <c r="F974" s="2006" t="s">
        <v>13</v>
      </c>
      <c r="G974" s="2006" t="s">
        <v>14</v>
      </c>
      <c r="H974" s="2125" t="s">
        <v>1835</v>
      </c>
      <c r="I974" s="2190" t="s">
        <v>1834</v>
      </c>
      <c r="J974" s="2190"/>
      <c r="K974" s="1920"/>
      <c r="L974" s="1920"/>
      <c r="N974" s="2183"/>
    </row>
    <row r="975" spans="1:14" s="1340" customFormat="1" ht="14.25" customHeight="1">
      <c r="A975" s="1945"/>
      <c r="B975" s="2029"/>
      <c r="C975" s="2002" t="s">
        <v>484</v>
      </c>
      <c r="D975" s="2003">
        <v>32</v>
      </c>
      <c r="E975" s="2004">
        <v>335</v>
      </c>
      <c r="F975" s="2003">
        <v>5</v>
      </c>
      <c r="G975" s="2004">
        <v>30</v>
      </c>
      <c r="H975" s="2154">
        <v>238</v>
      </c>
      <c r="I975" s="2189" t="s">
        <v>1825</v>
      </c>
      <c r="J975" s="2189"/>
      <c r="K975" s="1920"/>
      <c r="L975" s="1920"/>
      <c r="N975" s="2183"/>
    </row>
    <row r="976" spans="1:14" s="1340" customFormat="1" ht="14.25" customHeight="1">
      <c r="A976" s="1945"/>
      <c r="B976" s="2029"/>
      <c r="C976" s="1999" t="s">
        <v>486</v>
      </c>
      <c r="D976" s="2000" t="s">
        <v>412</v>
      </c>
      <c r="E976" s="2001">
        <v>202</v>
      </c>
      <c r="F976" s="2000">
        <v>5</v>
      </c>
      <c r="G976" s="2001">
        <v>40</v>
      </c>
      <c r="H976" s="2160">
        <v>154</v>
      </c>
      <c r="I976" s="2189" t="s">
        <v>1825</v>
      </c>
      <c r="J976" s="2189"/>
      <c r="K976" s="1920"/>
      <c r="L976" s="1920"/>
      <c r="N976" s="2183"/>
    </row>
    <row r="977" spans="1:14" s="1340" customFormat="1" ht="14.25" customHeight="1">
      <c r="A977" s="1945"/>
      <c r="B977" s="2029"/>
      <c r="C977" s="2002" t="s">
        <v>487</v>
      </c>
      <c r="D977" s="2003" t="s">
        <v>414</v>
      </c>
      <c r="E977" s="2004">
        <v>213</v>
      </c>
      <c r="F977" s="2003">
        <v>5</v>
      </c>
      <c r="G977" s="2004">
        <v>40</v>
      </c>
      <c r="H977" s="2154">
        <v>198</v>
      </c>
      <c r="I977" s="2189" t="s">
        <v>1825</v>
      </c>
      <c r="J977" s="2189"/>
      <c r="K977" s="1920"/>
      <c r="L977" s="1920"/>
      <c r="N977" s="2183"/>
    </row>
    <row r="978" spans="1:14" s="1340" customFormat="1" ht="14.25" customHeight="1">
      <c r="A978" s="1945"/>
      <c r="B978" s="2042"/>
      <c r="C978" s="1999" t="s">
        <v>489</v>
      </c>
      <c r="D978" s="2000" t="s">
        <v>420</v>
      </c>
      <c r="E978" s="2001">
        <v>310</v>
      </c>
      <c r="F978" s="2000">
        <v>5</v>
      </c>
      <c r="G978" s="2001">
        <v>30</v>
      </c>
      <c r="H978" s="2160">
        <v>239</v>
      </c>
      <c r="I978" s="2189" t="s">
        <v>1825</v>
      </c>
      <c r="J978" s="2189"/>
      <c r="K978" s="1920"/>
      <c r="L978" s="1920"/>
      <c r="N978" s="2183"/>
    </row>
    <row r="979" spans="1:14" s="1340" customFormat="1" ht="14.25" customHeight="1">
      <c r="A979" s="1945"/>
      <c r="B979" s="2029"/>
      <c r="C979" s="2002" t="s">
        <v>491</v>
      </c>
      <c r="D979" s="2003" t="s">
        <v>492</v>
      </c>
      <c r="E979" s="2004">
        <v>178</v>
      </c>
      <c r="F979" s="2003">
        <v>5</v>
      </c>
      <c r="G979" s="2004">
        <v>50</v>
      </c>
      <c r="H979" s="2154">
        <v>152</v>
      </c>
      <c r="I979" s="2189" t="s">
        <v>1825</v>
      </c>
      <c r="J979" s="2189"/>
      <c r="K979" s="1920"/>
      <c r="L979" s="1920"/>
      <c r="N979" s="2183"/>
    </row>
    <row r="980" spans="1:14" s="1340" customFormat="1" ht="14.25" customHeight="1">
      <c r="A980" s="1945"/>
      <c r="B980" s="2029"/>
      <c r="C980" s="1999" t="s">
        <v>496</v>
      </c>
      <c r="D980" s="2000" t="s">
        <v>426</v>
      </c>
      <c r="E980" s="2001">
        <v>132</v>
      </c>
      <c r="F980" s="2000">
        <v>10</v>
      </c>
      <c r="G980" s="2001">
        <v>50</v>
      </c>
      <c r="H980" s="2160">
        <v>103</v>
      </c>
      <c r="I980" s="2189" t="s">
        <v>1825</v>
      </c>
      <c r="J980" s="2189"/>
      <c r="K980" s="1920"/>
      <c r="L980" s="1920"/>
      <c r="N980" s="2183"/>
    </row>
    <row r="981" spans="1:14" s="1340" customFormat="1" ht="14.25" customHeight="1">
      <c r="A981" s="1945"/>
      <c r="B981" s="2029"/>
      <c r="C981" s="2002" t="s">
        <v>497</v>
      </c>
      <c r="D981" s="2003" t="s">
        <v>498</v>
      </c>
      <c r="E981" s="2004">
        <v>160</v>
      </c>
      <c r="F981" s="2003">
        <v>5</v>
      </c>
      <c r="G981" s="2004">
        <v>40</v>
      </c>
      <c r="H981" s="2154">
        <v>161</v>
      </c>
      <c r="I981" s="2189" t="s">
        <v>1825</v>
      </c>
      <c r="J981" s="2189"/>
      <c r="K981" s="1920"/>
      <c r="L981" s="1920"/>
      <c r="N981" s="2183"/>
    </row>
    <row r="982" spans="1:14" s="1340" customFormat="1" ht="14.25" customHeight="1">
      <c r="A982" s="1945"/>
      <c r="B982" s="2029"/>
      <c r="C982" s="1999" t="s">
        <v>499</v>
      </c>
      <c r="D982" s="2000" t="s">
        <v>500</v>
      </c>
      <c r="E982" s="2001">
        <v>158</v>
      </c>
      <c r="F982" s="2000">
        <v>5</v>
      </c>
      <c r="G982" s="2001">
        <v>40</v>
      </c>
      <c r="H982" s="2160">
        <v>147</v>
      </c>
      <c r="I982" s="2189" t="s">
        <v>1825</v>
      </c>
      <c r="J982" s="2189"/>
      <c r="K982" s="1920"/>
      <c r="L982" s="1920"/>
      <c r="N982" s="2183"/>
    </row>
    <row r="983" spans="1:14" s="1340" customFormat="1" ht="14.25" customHeight="1">
      <c r="A983" s="1945"/>
      <c r="B983" s="2029"/>
      <c r="C983" s="2002" t="s">
        <v>501</v>
      </c>
      <c r="D983" s="2003" t="s">
        <v>502</v>
      </c>
      <c r="E983" s="2004">
        <v>176</v>
      </c>
      <c r="F983" s="2003">
        <v>5</v>
      </c>
      <c r="G983" s="2004">
        <v>40</v>
      </c>
      <c r="H983" s="2154">
        <v>139</v>
      </c>
      <c r="I983" s="2189" t="s">
        <v>1825</v>
      </c>
      <c r="J983" s="2189"/>
      <c r="K983" s="1920"/>
      <c r="L983" s="1920"/>
      <c r="N983" s="2183"/>
    </row>
    <row r="984" spans="1:14" s="1340" customFormat="1" ht="14.25" customHeight="1">
      <c r="A984" s="1945"/>
      <c r="B984" s="2029"/>
      <c r="C984" s="1999" t="s">
        <v>503</v>
      </c>
      <c r="D984" s="2000" t="s">
        <v>504</v>
      </c>
      <c r="E984" s="2001">
        <v>213</v>
      </c>
      <c r="F984" s="2000">
        <v>5</v>
      </c>
      <c r="G984" s="2001">
        <v>40</v>
      </c>
      <c r="H984" s="2160">
        <v>182</v>
      </c>
      <c r="I984" s="2189" t="s">
        <v>1825</v>
      </c>
      <c r="J984" s="2189"/>
      <c r="K984" s="1920"/>
      <c r="L984" s="1920"/>
      <c r="N984" s="2183"/>
    </row>
    <row r="985" spans="1:14" s="1340" customFormat="1" ht="14.25" customHeight="1" thickBot="1">
      <c r="A985" s="1945"/>
      <c r="B985" s="2041" t="s">
        <v>162</v>
      </c>
      <c r="C985" s="1976"/>
      <c r="D985" s="1976" t="s">
        <v>163</v>
      </c>
      <c r="E985" s="1945"/>
      <c r="F985" s="1945"/>
      <c r="G985" s="1945"/>
      <c r="H985" s="2156"/>
      <c r="I985" s="1966"/>
      <c r="J985" s="1965"/>
      <c r="K985" s="1920"/>
      <c r="L985" s="1920"/>
      <c r="N985" s="2183"/>
    </row>
    <row r="986" spans="1:14" s="1340" customFormat="1" ht="14.25" customHeight="1" thickBot="1">
      <c r="A986" s="1945"/>
      <c r="B986" s="2029"/>
      <c r="C986" s="2005" t="s">
        <v>10</v>
      </c>
      <c r="D986" s="2006" t="s">
        <v>11</v>
      </c>
      <c r="E986" s="2006" t="s">
        <v>12</v>
      </c>
      <c r="F986" s="2006" t="s">
        <v>13</v>
      </c>
      <c r="G986" s="2006" t="s">
        <v>14</v>
      </c>
      <c r="H986" s="2125" t="s">
        <v>1835</v>
      </c>
      <c r="I986" s="2190" t="s">
        <v>1834</v>
      </c>
      <c r="J986" s="2190"/>
      <c r="K986" s="1920"/>
      <c r="L986" s="1920"/>
      <c r="N986" s="2183"/>
    </row>
    <row r="987" spans="1:14" s="1340" customFormat="1" ht="14.25" customHeight="1">
      <c r="A987" s="1945"/>
      <c r="B987" s="2042"/>
      <c r="C987" s="2002" t="s">
        <v>509</v>
      </c>
      <c r="D987" s="2003" t="s">
        <v>510</v>
      </c>
      <c r="E987" s="2004">
        <v>135</v>
      </c>
      <c r="F987" s="2003">
        <v>10</v>
      </c>
      <c r="G987" s="2004">
        <v>50</v>
      </c>
      <c r="H987" s="2154">
        <v>129</v>
      </c>
      <c r="I987" s="2189" t="s">
        <v>1825</v>
      </c>
      <c r="J987" s="2189"/>
      <c r="K987" s="1920"/>
      <c r="L987" s="1920"/>
      <c r="N987" s="2183"/>
    </row>
    <row r="988" spans="1:14" s="1340" customFormat="1" ht="14.25" customHeight="1">
      <c r="A988" s="1945"/>
      <c r="B988" s="2029"/>
      <c r="C988" s="1999" t="s">
        <v>511</v>
      </c>
      <c r="D988" s="2000" t="s">
        <v>512</v>
      </c>
      <c r="E988" s="2001">
        <v>172</v>
      </c>
      <c r="F988" s="2000">
        <v>10</v>
      </c>
      <c r="G988" s="2001">
        <v>50</v>
      </c>
      <c r="H988" s="2160">
        <v>151</v>
      </c>
      <c r="I988" s="2189" t="s">
        <v>1825</v>
      </c>
      <c r="J988" s="2189"/>
      <c r="K988" s="1920"/>
      <c r="L988" s="1920"/>
      <c r="N988" s="2183"/>
    </row>
    <row r="989" spans="1:14" s="1340" customFormat="1" ht="14.25" customHeight="1">
      <c r="A989" s="1945"/>
      <c r="B989" s="2029"/>
      <c r="C989" s="2002" t="s">
        <v>513</v>
      </c>
      <c r="D989" s="2003" t="s">
        <v>514</v>
      </c>
      <c r="E989" s="2004">
        <v>237</v>
      </c>
      <c r="F989" s="2003">
        <v>5</v>
      </c>
      <c r="G989" s="2004">
        <v>40</v>
      </c>
      <c r="H989" s="2154">
        <v>158</v>
      </c>
      <c r="I989" s="2189" t="s">
        <v>1825</v>
      </c>
      <c r="J989" s="2189"/>
      <c r="K989" s="1920"/>
      <c r="L989" s="1920"/>
      <c r="N989" s="2183"/>
    </row>
    <row r="990" spans="1:14" s="1340" customFormat="1" ht="14.25" customHeight="1">
      <c r="A990" s="1945"/>
      <c r="B990" s="2029"/>
      <c r="C990" s="1999" t="s">
        <v>515</v>
      </c>
      <c r="D990" s="2000" t="s">
        <v>166</v>
      </c>
      <c r="E990" s="2001">
        <v>320</v>
      </c>
      <c r="F990" s="2000">
        <v>5</v>
      </c>
      <c r="G990" s="2001">
        <v>30</v>
      </c>
      <c r="H990" s="2160">
        <v>244</v>
      </c>
      <c r="I990" s="2189" t="s">
        <v>1825</v>
      </c>
      <c r="J990" s="2189"/>
      <c r="K990" s="1920"/>
      <c r="L990" s="1920"/>
      <c r="N990" s="2183"/>
    </row>
    <row r="991" spans="1:14" s="1340" customFormat="1" ht="14.25" customHeight="1" thickBot="1">
      <c r="A991" s="1945"/>
      <c r="B991" s="2041" t="s">
        <v>164</v>
      </c>
      <c r="C991" s="1976"/>
      <c r="D991" s="1976" t="s">
        <v>165</v>
      </c>
      <c r="E991" s="1945"/>
      <c r="F991" s="1945"/>
      <c r="G991" s="1945"/>
      <c r="H991" s="2156"/>
      <c r="I991" s="1966"/>
      <c r="J991" s="1965"/>
      <c r="K991" s="1920"/>
      <c r="L991" s="1920"/>
      <c r="N991" s="2183"/>
    </row>
    <row r="992" spans="1:14" s="1340" customFormat="1" ht="14.25" customHeight="1" thickBot="1">
      <c r="A992" s="1945"/>
      <c r="B992" s="2029"/>
      <c r="C992" s="2005" t="s">
        <v>10</v>
      </c>
      <c r="D992" s="2006" t="s">
        <v>11</v>
      </c>
      <c r="E992" s="2006" t="s">
        <v>12</v>
      </c>
      <c r="F992" s="2006" t="s">
        <v>13</v>
      </c>
      <c r="G992" s="2006" t="s">
        <v>14</v>
      </c>
      <c r="H992" s="2125" t="s">
        <v>1835</v>
      </c>
      <c r="I992" s="2190" t="s">
        <v>1834</v>
      </c>
      <c r="J992" s="2190"/>
      <c r="K992" s="1920"/>
      <c r="L992" s="1920"/>
      <c r="N992" s="2183"/>
    </row>
    <row r="993" spans="1:14" s="1340" customFormat="1" ht="14.25" customHeight="1">
      <c r="A993" s="1945"/>
      <c r="B993" s="2029"/>
      <c r="C993" s="2002" t="s">
        <v>516</v>
      </c>
      <c r="D993" s="2003" t="s">
        <v>508</v>
      </c>
      <c r="E993" s="2004">
        <v>109</v>
      </c>
      <c r="F993" s="2003">
        <v>10</v>
      </c>
      <c r="G993" s="2004">
        <v>100</v>
      </c>
      <c r="H993" s="2154">
        <v>77</v>
      </c>
      <c r="I993" s="2189" t="s">
        <v>1825</v>
      </c>
      <c r="J993" s="2189"/>
      <c r="K993" s="1920"/>
      <c r="L993" s="1920"/>
      <c r="N993" s="2183"/>
    </row>
    <row r="994" spans="1:14" s="1340" customFormat="1" ht="14.25" customHeight="1">
      <c r="A994" s="1945"/>
      <c r="B994" s="2042"/>
      <c r="C994" s="1999" t="s">
        <v>517</v>
      </c>
      <c r="D994" s="2000" t="s">
        <v>510</v>
      </c>
      <c r="E994" s="2001">
        <v>158</v>
      </c>
      <c r="F994" s="2000">
        <v>10</v>
      </c>
      <c r="G994" s="2001">
        <v>100</v>
      </c>
      <c r="H994" s="2160">
        <v>135</v>
      </c>
      <c r="I994" s="2189" t="s">
        <v>1825</v>
      </c>
      <c r="J994" s="2189"/>
      <c r="K994" s="1920"/>
      <c r="L994" s="1920"/>
      <c r="N994" s="2183"/>
    </row>
    <row r="995" spans="1:14" s="1340" customFormat="1" ht="14.25" customHeight="1">
      <c r="A995" s="1945"/>
      <c r="B995" s="2029"/>
      <c r="C995" s="2002" t="s">
        <v>518</v>
      </c>
      <c r="D995" s="2003" t="s">
        <v>512</v>
      </c>
      <c r="E995" s="2004">
        <v>155</v>
      </c>
      <c r="F995" s="2003">
        <v>5</v>
      </c>
      <c r="G995" s="2004">
        <v>50</v>
      </c>
      <c r="H995" s="2154">
        <v>111</v>
      </c>
      <c r="I995" s="2189" t="s">
        <v>1825</v>
      </c>
      <c r="J995" s="2189"/>
      <c r="K995" s="1920"/>
      <c r="L995" s="1920"/>
      <c r="N995" s="2183"/>
    </row>
    <row r="996" spans="1:14" s="1340" customFormat="1" ht="14.25" customHeight="1">
      <c r="A996" s="1945"/>
      <c r="B996" s="2029"/>
      <c r="C996" s="1999" t="s">
        <v>519</v>
      </c>
      <c r="D996" s="2000" t="s">
        <v>514</v>
      </c>
      <c r="E996" s="2001">
        <v>180</v>
      </c>
      <c r="F996" s="2000">
        <v>5</v>
      </c>
      <c r="G996" s="2001">
        <v>40</v>
      </c>
      <c r="H996" s="2160">
        <v>146</v>
      </c>
      <c r="I996" s="2189" t="s">
        <v>1825</v>
      </c>
      <c r="J996" s="2189"/>
      <c r="K996" s="1920"/>
      <c r="L996" s="1920"/>
      <c r="N996" s="2183"/>
    </row>
    <row r="997" spans="1:14" s="1340" customFormat="1" ht="14.25" customHeight="1" thickBot="1">
      <c r="A997" s="1945"/>
      <c r="B997" s="2041" t="s">
        <v>169</v>
      </c>
      <c r="C997" s="1976"/>
      <c r="D997" s="1976" t="s">
        <v>170</v>
      </c>
      <c r="E997" s="1945"/>
      <c r="F997" s="1945"/>
      <c r="G997" s="1945"/>
      <c r="H997" s="2156"/>
      <c r="I997" s="1966"/>
      <c r="J997" s="1965"/>
      <c r="K997" s="1920"/>
      <c r="L997" s="1920"/>
      <c r="N997" s="2183"/>
    </row>
    <row r="998" spans="1:14" s="1340" customFormat="1" ht="14.25" customHeight="1" thickBot="1">
      <c r="A998" s="1945"/>
      <c r="B998" s="2029"/>
      <c r="C998" s="2005" t="s">
        <v>10</v>
      </c>
      <c r="D998" s="2006" t="s">
        <v>11</v>
      </c>
      <c r="E998" s="2006" t="s">
        <v>12</v>
      </c>
      <c r="F998" s="2006" t="s">
        <v>13</v>
      </c>
      <c r="G998" s="2006" t="s">
        <v>14</v>
      </c>
      <c r="H998" s="2125" t="s">
        <v>1835</v>
      </c>
      <c r="I998" s="2190" t="s">
        <v>1834</v>
      </c>
      <c r="J998" s="2190"/>
      <c r="K998" s="1920"/>
      <c r="L998" s="1920"/>
      <c r="N998" s="2183"/>
    </row>
    <row r="999" spans="1:14" s="1340" customFormat="1" ht="14.25" customHeight="1">
      <c r="A999" s="1945"/>
      <c r="B999" s="2029"/>
      <c r="C999" s="2002" t="s">
        <v>525</v>
      </c>
      <c r="D999" s="2003" t="s">
        <v>376</v>
      </c>
      <c r="E999" s="2004">
        <v>90</v>
      </c>
      <c r="F999" s="2003">
        <v>10</v>
      </c>
      <c r="G999" s="2004">
        <v>150</v>
      </c>
      <c r="H999" s="2154">
        <v>77</v>
      </c>
      <c r="I999" s="2189" t="s">
        <v>1825</v>
      </c>
      <c r="J999" s="2189"/>
      <c r="K999" s="1920"/>
      <c r="L999" s="1920"/>
      <c r="N999" s="2183"/>
    </row>
    <row r="1000" spans="1:14" s="1340" customFormat="1" ht="14.25" customHeight="1">
      <c r="A1000" s="1945"/>
      <c r="B1000" s="2029"/>
      <c r="C1000" s="1999" t="s">
        <v>526</v>
      </c>
      <c r="D1000" s="2000" t="s">
        <v>378</v>
      </c>
      <c r="E1000" s="2001">
        <v>120</v>
      </c>
      <c r="F1000" s="2000">
        <v>10</v>
      </c>
      <c r="G1000" s="2001">
        <v>120</v>
      </c>
      <c r="H1000" s="2160">
        <v>79</v>
      </c>
      <c r="I1000" s="2189" t="s">
        <v>1825</v>
      </c>
      <c r="J1000" s="2189"/>
      <c r="K1000" s="1920"/>
      <c r="L1000" s="1920"/>
      <c r="N1000" s="2183"/>
    </row>
    <row r="1001" spans="1:14" s="1340" customFormat="1" ht="14.25" customHeight="1">
      <c r="A1001" s="1945"/>
      <c r="B1001" s="2029"/>
      <c r="C1001" s="2002" t="s">
        <v>528</v>
      </c>
      <c r="D1001" s="2003" t="s">
        <v>382</v>
      </c>
      <c r="E1001" s="2004">
        <v>105</v>
      </c>
      <c r="F1001" s="2003">
        <v>5</v>
      </c>
      <c r="G1001" s="2004">
        <v>100</v>
      </c>
      <c r="H1001" s="2154">
        <v>88</v>
      </c>
      <c r="I1001" s="2189" t="s">
        <v>1825</v>
      </c>
      <c r="J1001" s="2189"/>
      <c r="K1001" s="1920"/>
      <c r="L1001" s="1920"/>
      <c r="N1001" s="2183"/>
    </row>
    <row r="1002" spans="1:14" s="1340" customFormat="1" ht="14.25" customHeight="1">
      <c r="A1002" s="1945"/>
      <c r="B1002" s="2029"/>
      <c r="C1002" s="1999" t="s">
        <v>529</v>
      </c>
      <c r="D1002" s="2000" t="s">
        <v>384</v>
      </c>
      <c r="E1002" s="2001">
        <v>170</v>
      </c>
      <c r="F1002" s="2000">
        <v>5</v>
      </c>
      <c r="G1002" s="2001">
        <v>50</v>
      </c>
      <c r="H1002" s="2160">
        <v>135</v>
      </c>
      <c r="I1002" s="2189" t="s">
        <v>1825</v>
      </c>
      <c r="J1002" s="2189"/>
      <c r="K1002" s="1920"/>
      <c r="L1002" s="1920"/>
      <c r="N1002" s="2183"/>
    </row>
    <row r="1003" spans="1:14" s="1340" customFormat="1" ht="14.25" customHeight="1">
      <c r="A1003" s="1945"/>
      <c r="B1003" s="2029"/>
      <c r="C1003" s="2002" t="s">
        <v>558</v>
      </c>
      <c r="D1003" s="2003" t="s">
        <v>386</v>
      </c>
      <c r="E1003" s="2004">
        <v>197</v>
      </c>
      <c r="F1003" s="2003">
        <v>5</v>
      </c>
      <c r="G1003" s="2004">
        <v>25</v>
      </c>
      <c r="H1003" s="2154">
        <v>149</v>
      </c>
      <c r="I1003" s="2189" t="s">
        <v>1825</v>
      </c>
      <c r="J1003" s="2189"/>
      <c r="K1003" s="1920"/>
      <c r="L1003" s="1920"/>
      <c r="N1003" s="2183"/>
    </row>
    <row r="1004" spans="1:14" s="1340" customFormat="1" ht="14.25" customHeight="1">
      <c r="A1004" s="1945"/>
      <c r="B1004" s="2029"/>
      <c r="C1004" s="1999" t="s">
        <v>530</v>
      </c>
      <c r="D1004" s="2000" t="s">
        <v>388</v>
      </c>
      <c r="E1004" s="2001">
        <v>245</v>
      </c>
      <c r="F1004" s="2000">
        <v>5</v>
      </c>
      <c r="G1004" s="2001">
        <v>30</v>
      </c>
      <c r="H1004" s="2160">
        <v>174</v>
      </c>
      <c r="I1004" s="2189" t="s">
        <v>1825</v>
      </c>
      <c r="J1004" s="2189"/>
      <c r="K1004" s="1920"/>
      <c r="L1004" s="1920"/>
      <c r="N1004" s="2183"/>
    </row>
    <row r="1005" spans="1:14" s="1340" customFormat="1" ht="14.25" customHeight="1" thickBot="1">
      <c r="A1005" s="1945"/>
      <c r="B1005" s="2041" t="s">
        <v>171</v>
      </c>
      <c r="C1005" s="1976"/>
      <c r="D1005" s="1976" t="s">
        <v>172</v>
      </c>
      <c r="E1005" s="1945"/>
      <c r="F1005" s="1945"/>
      <c r="G1005" s="1945"/>
      <c r="H1005" s="2156"/>
      <c r="I1005" s="1966"/>
      <c r="J1005" s="1965"/>
      <c r="K1005" s="1920"/>
      <c r="L1005" s="1920"/>
      <c r="N1005" s="2183"/>
    </row>
    <row r="1006" spans="1:14" s="1340" customFormat="1" ht="14.25" customHeight="1" thickBot="1">
      <c r="A1006" s="1945"/>
      <c r="B1006" s="2029"/>
      <c r="C1006" s="2005" t="s">
        <v>10</v>
      </c>
      <c r="D1006" s="2006" t="s">
        <v>11</v>
      </c>
      <c r="E1006" s="2006" t="s">
        <v>12</v>
      </c>
      <c r="F1006" s="2006" t="s">
        <v>13</v>
      </c>
      <c r="G1006" s="2006" t="s">
        <v>14</v>
      </c>
      <c r="H1006" s="2125" t="s">
        <v>1835</v>
      </c>
      <c r="I1006" s="2190" t="s">
        <v>1834</v>
      </c>
      <c r="J1006" s="2190"/>
      <c r="K1006" s="1920"/>
      <c r="L1006" s="1920"/>
      <c r="N1006" s="2183"/>
    </row>
    <row r="1007" spans="1:14" s="1340" customFormat="1" ht="14.25" customHeight="1">
      <c r="A1007" s="1945"/>
      <c r="B1007" s="2029"/>
      <c r="C1007" s="2002" t="s">
        <v>531</v>
      </c>
      <c r="D1007" s="2003" t="s">
        <v>376</v>
      </c>
      <c r="E1007" s="2004">
        <v>77</v>
      </c>
      <c r="F1007" s="2003">
        <v>10</v>
      </c>
      <c r="G1007" s="2004">
        <v>200</v>
      </c>
      <c r="H1007" s="2154">
        <v>77</v>
      </c>
      <c r="I1007" s="2189" t="s">
        <v>1825</v>
      </c>
      <c r="J1007" s="2189"/>
      <c r="K1007" s="1920"/>
      <c r="L1007" s="1920"/>
      <c r="N1007" s="2183"/>
    </row>
    <row r="1008" spans="1:14" s="1340" customFormat="1" ht="14.25" customHeight="1">
      <c r="A1008" s="1945"/>
      <c r="B1008" s="2029"/>
      <c r="C1008" s="1999" t="s">
        <v>535</v>
      </c>
      <c r="D1008" s="2000" t="s">
        <v>386</v>
      </c>
      <c r="E1008" s="2001">
        <v>160</v>
      </c>
      <c r="F1008" s="2000">
        <v>5</v>
      </c>
      <c r="G1008" s="2001">
        <v>30</v>
      </c>
      <c r="H1008" s="2160">
        <v>82</v>
      </c>
      <c r="I1008" s="2189" t="s">
        <v>1825</v>
      </c>
      <c r="J1008" s="2189"/>
      <c r="K1008" s="1920"/>
      <c r="L1008" s="1920"/>
      <c r="N1008" s="2183"/>
    </row>
    <row r="1009" spans="1:16" s="1340" customFormat="1" ht="14.25" customHeight="1">
      <c r="A1009" s="1945"/>
      <c r="B1009" s="2029"/>
      <c r="C1009" s="2002" t="s">
        <v>536</v>
      </c>
      <c r="D1009" s="2003" t="s">
        <v>388</v>
      </c>
      <c r="E1009" s="2004">
        <v>210</v>
      </c>
      <c r="F1009" s="2003">
        <v>5</v>
      </c>
      <c r="G1009" s="2004">
        <v>30</v>
      </c>
      <c r="H1009" s="2154">
        <v>142</v>
      </c>
      <c r="I1009" s="2189" t="s">
        <v>1825</v>
      </c>
      <c r="J1009" s="2189"/>
      <c r="K1009" s="1920"/>
      <c r="L1009" s="1920"/>
      <c r="N1009" s="2183"/>
    </row>
    <row r="1010" spans="1:16" s="1340" customFormat="1" ht="14.25" customHeight="1">
      <c r="A1010" s="1945"/>
      <c r="B1010" s="2041" t="s">
        <v>173</v>
      </c>
      <c r="C1010" s="1976"/>
      <c r="D1010" s="1976" t="s">
        <v>174</v>
      </c>
      <c r="E1010" s="1945"/>
      <c r="F1010" s="1945"/>
      <c r="G1010" s="1945"/>
      <c r="H1010" s="2156"/>
      <c r="I1010" s="1966"/>
      <c r="J1010" s="1965"/>
      <c r="K1010" s="1920"/>
      <c r="L1010" s="1920"/>
      <c r="N1010" s="2183"/>
    </row>
    <row r="1011" spans="1:16" s="1340" customFormat="1" ht="14.25" customHeight="1" thickBot="1">
      <c r="A1011" s="1945"/>
      <c r="B1011" s="2029"/>
      <c r="C1011" s="1945"/>
      <c r="D1011" s="1945" t="s">
        <v>9</v>
      </c>
      <c r="E1011" s="1945"/>
      <c r="F1011" s="1945"/>
      <c r="G1011" s="1945"/>
      <c r="H1011" s="2156"/>
      <c r="I1011" s="1966"/>
      <c r="J1011" s="1965"/>
      <c r="K1011" s="1920"/>
      <c r="L1011" s="1920"/>
      <c r="N1011" s="2183"/>
    </row>
    <row r="1012" spans="1:16" s="1340" customFormat="1" ht="14.25" customHeight="1" thickBot="1">
      <c r="A1012" s="1945"/>
      <c r="B1012" s="2029"/>
      <c r="C1012" s="2005" t="s">
        <v>10</v>
      </c>
      <c r="D1012" s="2006" t="s">
        <v>11</v>
      </c>
      <c r="E1012" s="2006" t="s">
        <v>12</v>
      </c>
      <c r="F1012" s="2006" t="s">
        <v>13</v>
      </c>
      <c r="G1012" s="2006" t="s">
        <v>14</v>
      </c>
      <c r="H1012" s="2125" t="s">
        <v>1835</v>
      </c>
      <c r="I1012" s="2190" t="s">
        <v>1834</v>
      </c>
      <c r="J1012" s="2190"/>
      <c r="K1012" s="1920"/>
      <c r="L1012" s="1920"/>
      <c r="N1012" s="2183"/>
    </row>
    <row r="1013" spans="1:16" s="1340" customFormat="1" ht="14.25" customHeight="1">
      <c r="A1013" s="1945"/>
      <c r="B1013" s="2029"/>
      <c r="C1013" s="2002" t="s">
        <v>538</v>
      </c>
      <c r="D1013" s="2003" t="s">
        <v>380</v>
      </c>
      <c r="E1013" s="2004">
        <v>111</v>
      </c>
      <c r="F1013" s="2003">
        <v>10</v>
      </c>
      <c r="G1013" s="2004">
        <v>40</v>
      </c>
      <c r="H1013" s="2154">
        <v>112</v>
      </c>
      <c r="I1013" s="2189" t="s">
        <v>1825</v>
      </c>
      <c r="J1013" s="2189"/>
      <c r="K1013" s="1920"/>
      <c r="L1013" s="1920"/>
      <c r="N1013" s="2183"/>
    </row>
    <row r="1014" spans="1:16" s="1340" customFormat="1" ht="14.25" customHeight="1">
      <c r="A1014" s="1945"/>
      <c r="B1014" s="2029"/>
      <c r="C1014" s="1945"/>
      <c r="D1014" s="1945"/>
      <c r="E1014" s="1945"/>
      <c r="F1014" s="1945"/>
      <c r="G1014" s="1945"/>
      <c r="H1014" s="2156"/>
      <c r="I1014" s="1966"/>
      <c r="J1014" s="1965"/>
      <c r="K1014" s="1920"/>
      <c r="P1014" s="2184"/>
    </row>
  </sheetData>
  <mergeCells count="221">
    <mergeCell ref="I349:J349"/>
    <mergeCell ref="I390:J390"/>
    <mergeCell ref="I380:J380"/>
    <mergeCell ref="I381:J381"/>
    <mergeCell ref="I230:J230"/>
    <mergeCell ref="B13:J14"/>
    <mergeCell ref="I1013:J1013"/>
    <mergeCell ref="I482:J482"/>
    <mergeCell ref="I540:J540"/>
    <mergeCell ref="I546:J546"/>
    <mergeCell ref="I494:J494"/>
    <mergeCell ref="I495:J495"/>
    <mergeCell ref="I486:J486"/>
    <mergeCell ref="I998:J998"/>
    <mergeCell ref="I999:J999"/>
    <mergeCell ref="I1006:J1006"/>
    <mergeCell ref="I1007:J1007"/>
    <mergeCell ref="I1012:J1012"/>
    <mergeCell ref="I975:J975"/>
    <mergeCell ref="I986:J986"/>
    <mergeCell ref="I987:J987"/>
    <mergeCell ref="I992:J992"/>
    <mergeCell ref="I993:J993"/>
    <mergeCell ref="I964:J964"/>
    <mergeCell ref="I965:J965"/>
    <mergeCell ref="I968:J968"/>
    <mergeCell ref="I969:J969"/>
    <mergeCell ref="I974:J974"/>
    <mergeCell ref="I939:J939"/>
    <mergeCell ref="I956:J956"/>
    <mergeCell ref="I957:J957"/>
    <mergeCell ref="I925:J925"/>
    <mergeCell ref="I926:J926"/>
    <mergeCell ref="I932:J932"/>
    <mergeCell ref="I933:J933"/>
    <mergeCell ref="I938:J938"/>
    <mergeCell ref="B943:J943"/>
    <mergeCell ref="I958:J958"/>
    <mergeCell ref="I959:J959"/>
    <mergeCell ref="I960:J960"/>
    <mergeCell ref="I961:J961"/>
    <mergeCell ref="I962:J962"/>
    <mergeCell ref="I966:J966"/>
    <mergeCell ref="I970:J970"/>
    <mergeCell ref="I971:J971"/>
    <mergeCell ref="I972:J972"/>
    <mergeCell ref="I343:J343"/>
    <mergeCell ref="I918:J918"/>
    <mergeCell ref="I919:J919"/>
    <mergeCell ref="I921:J921"/>
    <mergeCell ref="I922:J922"/>
    <mergeCell ref="I909:J909"/>
    <mergeCell ref="I910:J910"/>
    <mergeCell ref="I914:J914"/>
    <mergeCell ref="I915:J915"/>
    <mergeCell ref="I898:J898"/>
    <mergeCell ref="I899:J899"/>
    <mergeCell ref="I900:J900"/>
    <mergeCell ref="I907:J907"/>
    <mergeCell ref="I908:J908"/>
    <mergeCell ref="I901:J901"/>
    <mergeCell ref="I902:J902"/>
    <mergeCell ref="I903:J903"/>
    <mergeCell ref="I904:J904"/>
    <mergeCell ref="I905:J905"/>
    <mergeCell ref="I911:J911"/>
    <mergeCell ref="I912:J912"/>
    <mergeCell ref="I916:J916"/>
    <mergeCell ref="I889:J889"/>
    <mergeCell ref="I890:J890"/>
    <mergeCell ref="I891:J891"/>
    <mergeCell ref="I892:J892"/>
    <mergeCell ref="I897:J897"/>
    <mergeCell ref="I869:J869"/>
    <mergeCell ref="I884:J884"/>
    <mergeCell ref="I885:J885"/>
    <mergeCell ref="I886:J886"/>
    <mergeCell ref="I887:J887"/>
    <mergeCell ref="B874:J874"/>
    <mergeCell ref="I893:J893"/>
    <mergeCell ref="I894:J894"/>
    <mergeCell ref="I895:J895"/>
    <mergeCell ref="I865:J865"/>
    <mergeCell ref="I866:J866"/>
    <mergeCell ref="I867:J867"/>
    <mergeCell ref="I868:J868"/>
    <mergeCell ref="I830:J830"/>
    <mergeCell ref="I825:J825"/>
    <mergeCell ref="I819:J819"/>
    <mergeCell ref="I849:J849"/>
    <mergeCell ref="I850:J850"/>
    <mergeCell ref="B855:J855"/>
    <mergeCell ref="B620:H620"/>
    <mergeCell ref="B638:F638"/>
    <mergeCell ref="B863:D863"/>
    <mergeCell ref="B847:D847"/>
    <mergeCell ref="B183:J183"/>
    <mergeCell ref="B694:E694"/>
    <mergeCell ref="B637:H637"/>
    <mergeCell ref="B745:F745"/>
    <mergeCell ref="B672:H672"/>
    <mergeCell ref="B596:J596"/>
    <mergeCell ref="B647:J648"/>
    <mergeCell ref="B192:G192"/>
    <mergeCell ref="B813:E813"/>
    <mergeCell ref="I851:J851"/>
    <mergeCell ref="I321:J321"/>
    <mergeCell ref="I322:J322"/>
    <mergeCell ref="I323:J323"/>
    <mergeCell ref="I291:J291"/>
    <mergeCell ref="I292:J292"/>
    <mergeCell ref="I327:J327"/>
    <mergeCell ref="I328:J328"/>
    <mergeCell ref="I329:J329"/>
    <mergeCell ref="I330:J330"/>
    <mergeCell ref="I250:J250"/>
    <mergeCell ref="B9:J9"/>
    <mergeCell ref="B12:J12"/>
    <mergeCell ref="B15:J15"/>
    <mergeCell ref="B55:H55"/>
    <mergeCell ref="B56:H56"/>
    <mergeCell ref="B59:E59"/>
    <mergeCell ref="D17:F17"/>
    <mergeCell ref="I820:J820"/>
    <mergeCell ref="B636:H636"/>
    <mergeCell ref="B10:J10"/>
    <mergeCell ref="I411:J411"/>
    <mergeCell ref="I412:J412"/>
    <mergeCell ref="I359:J359"/>
    <mergeCell ref="B547:H547"/>
    <mergeCell ref="B687:H687"/>
    <mergeCell ref="B705:D705"/>
    <mergeCell ref="B724:D724"/>
    <mergeCell ref="B725:F725"/>
    <mergeCell ref="B706:F706"/>
    <mergeCell ref="B744:D744"/>
    <mergeCell ref="B650:H650"/>
    <mergeCell ref="B639:H639"/>
    <mergeCell ref="B688:H688"/>
    <mergeCell ref="B161:F161"/>
    <mergeCell ref="B163:D163"/>
    <mergeCell ref="B164:F164"/>
    <mergeCell ref="B127:J127"/>
    <mergeCell ref="B618:J618"/>
    <mergeCell ref="B53:J53"/>
    <mergeCell ref="B201:J201"/>
    <mergeCell ref="B158:J158"/>
    <mergeCell ref="B438:J438"/>
    <mergeCell ref="B441:J441"/>
    <mergeCell ref="I248:J248"/>
    <mergeCell ref="I240:J240"/>
    <mergeCell ref="I241:J241"/>
    <mergeCell ref="I232:J232"/>
    <mergeCell ref="I233:J233"/>
    <mergeCell ref="I270:J270"/>
    <mergeCell ref="I271:J271"/>
    <mergeCell ref="I272:J272"/>
    <mergeCell ref="I261:J261"/>
    <mergeCell ref="I262:J262"/>
    <mergeCell ref="I263:J263"/>
    <mergeCell ref="I473:J473"/>
    <mergeCell ref="B670:J670"/>
    <mergeCell ref="B684:J684"/>
    <mergeCell ref="B717:J717"/>
    <mergeCell ref="B703:J703"/>
    <mergeCell ref="B737:J737"/>
    <mergeCell ref="B807:J807"/>
    <mergeCell ref="B839:J839"/>
    <mergeCell ref="B634:J634"/>
    <mergeCell ref="D641:F641"/>
    <mergeCell ref="I821:J821"/>
    <mergeCell ref="I826:J826"/>
    <mergeCell ref="I831:J831"/>
    <mergeCell ref="I832:J832"/>
    <mergeCell ref="I927:J927"/>
    <mergeCell ref="I928:J928"/>
    <mergeCell ref="I929:J929"/>
    <mergeCell ref="I930:J930"/>
    <mergeCell ref="I934:J934"/>
    <mergeCell ref="I935:J935"/>
    <mergeCell ref="I936:J936"/>
    <mergeCell ref="I954:J954"/>
    <mergeCell ref="I952:J952"/>
    <mergeCell ref="I953:J953"/>
    <mergeCell ref="I458:J458"/>
    <mergeCell ref="I1003:J1003"/>
    <mergeCell ref="I1004:J1004"/>
    <mergeCell ref="I1008:J1008"/>
    <mergeCell ref="I1009:J1009"/>
    <mergeCell ref="I988:J988"/>
    <mergeCell ref="I989:J989"/>
    <mergeCell ref="I990:J990"/>
    <mergeCell ref="I994:J994"/>
    <mergeCell ref="I995:J995"/>
    <mergeCell ref="I996:J996"/>
    <mergeCell ref="I1000:J1000"/>
    <mergeCell ref="I1001:J1001"/>
    <mergeCell ref="I1002:J1002"/>
    <mergeCell ref="I976:J976"/>
    <mergeCell ref="I977:J977"/>
    <mergeCell ref="I978:J978"/>
    <mergeCell ref="I979:J979"/>
    <mergeCell ref="I980:J980"/>
    <mergeCell ref="I981:J981"/>
    <mergeCell ref="I982:J982"/>
    <mergeCell ref="I983:J983"/>
    <mergeCell ref="I984:J984"/>
    <mergeCell ref="I923:J923"/>
    <mergeCell ref="I276:J276"/>
    <mergeCell ref="I382:J382"/>
    <mergeCell ref="I474:J474"/>
    <mergeCell ref="I475:J475"/>
    <mergeCell ref="I476:J476"/>
    <mergeCell ref="I477:J477"/>
    <mergeCell ref="I478:J478"/>
    <mergeCell ref="I499:J499"/>
    <mergeCell ref="I500:J500"/>
    <mergeCell ref="I454:J454"/>
    <mergeCell ref="I455:J455"/>
    <mergeCell ref="I456:J456"/>
    <mergeCell ref="I457:J457"/>
  </mergeCells>
  <phoneticPr fontId="30" type="noConversion"/>
  <hyperlinks>
    <hyperlink ref="J51" location="Euros!A10" display="&lt;&lt;&lt; назад" xr:uid="{00000000-0004-0000-0000-000000000000}"/>
    <hyperlink ref="E20" location="Euros!A81" display="&gt;&gt;&gt;&gt;&gt;" xr:uid="{00000000-0004-0000-0000-000001000000}"/>
    <hyperlink ref="E21" location="Euros!A841" display="&gt;&gt;&gt;&gt;&gt;" xr:uid="{00000000-0004-0000-0000-000002000000}"/>
    <hyperlink ref="E32" location="Euros!A235" display="&gt;&gt;&gt;&gt;&gt;" xr:uid="{00000000-0004-0000-0000-000003000000}"/>
    <hyperlink ref="E34" location="Euros!A464" display="&gt;&gt;&gt;&gt;&gt;" xr:uid="{00000000-0004-0000-0000-000004000000}"/>
    <hyperlink ref="E37" location="Euros!A577" display="&gt;&gt;&gt;&gt;&gt;" xr:uid="{00000000-0004-0000-0000-000005000000}"/>
    <hyperlink ref="E22" location="Euros!A869" display="&gt;&gt;&gt;&gt;&gt;" xr:uid="{00000000-0004-0000-0000-000006000000}"/>
    <hyperlink ref="E38" location="Euros!A679" display="&gt;&gt;&gt;&gt;&gt;" xr:uid="{00000000-0004-0000-0000-000007000000}"/>
    <hyperlink ref="E39" location="Euros!A698" display="&gt;&gt;&gt;&gt;&gt;" xr:uid="{00000000-0004-0000-0000-000008000000}"/>
    <hyperlink ref="E40" location="Euros!A723" display="&gt;&gt;&gt;&gt;&gt;" xr:uid="{00000000-0004-0000-0000-000009000000}"/>
    <hyperlink ref="E26" location="Euros!A778" display="&gt;&gt;&gt;&gt;&gt;" xr:uid="{00000000-0004-0000-0000-00000A000000}"/>
    <hyperlink ref="E25" location="Euros!A180" display="&gt;&gt;&gt;&gt;&gt;" xr:uid="{00000000-0004-0000-0000-00000B000000}"/>
    <hyperlink ref="E24" location="Euros!A202" display="&gt;&gt;&gt;&gt;&gt;" xr:uid="{00000000-0004-0000-0000-00000C000000}"/>
    <hyperlink ref="E23" location="Euros!A154" display="&gt;&gt;&gt;&gt;&gt;" xr:uid="{00000000-0004-0000-0000-00000D000000}"/>
    <hyperlink ref="E27" location="Euros!A672" display="&gt;&gt;&gt;&gt;&gt;" xr:uid="{00000000-0004-0000-0000-00000E000000}"/>
    <hyperlink ref="E28" location="Euros!A686" display="&gt;&gt;&gt;&gt;&gt;" xr:uid="{00000000-0004-0000-0000-00000F000000}"/>
    <hyperlink ref="E29" location="Euros!A656" display="&gt;&gt;&gt;&gt;&gt;" xr:uid="{00000000-0004-0000-0000-000010000000}"/>
    <hyperlink ref="E30" location="Euros!A705" display="&gt;&gt;&gt;&gt;&gt;" xr:uid="{00000000-0004-0000-0000-000011000000}"/>
    <hyperlink ref="E43" location="Euros!A778" display="&gt;&gt;&gt;&gt;&gt;" xr:uid="{00000000-0004-0000-0000-000012000000}"/>
    <hyperlink ref="E44" location="Euros!A809" display="&gt;&gt;&gt;&gt;&gt;" xr:uid="{00000000-0004-0000-0000-000013000000}"/>
    <hyperlink ref="E46" location="Euros!A911" display="&gt;&gt;&gt;&gt;&gt;" xr:uid="{00000000-0004-0000-0000-000014000000}"/>
    <hyperlink ref="E48" location="Euros!A968" display="&gt;&gt;&gt;&gt;&gt;" xr:uid="{00000000-0004-0000-0000-000015000000}"/>
    <hyperlink ref="J805" location="Euros!A10" display="&lt;&lt;&lt; назад" xr:uid="{00000000-0004-0000-0000-000016000000}"/>
    <hyperlink ref="J837" location="Euros!A10" display="&lt;&lt;&lt; назад" xr:uid="{00000000-0004-0000-0000-000017000000}"/>
    <hyperlink ref="J853" location="Euros!A10" display="&lt;&lt;&lt; назад" xr:uid="{00000000-0004-0000-0000-000018000000}"/>
    <hyperlink ref="J125" location="Euros!A10" display="&lt;&lt;&lt; назад" xr:uid="{00000000-0004-0000-0000-000019000000}"/>
    <hyperlink ref="J181" location="Euros!A10" display="&lt;&lt;&lt; назад" xr:uid="{00000000-0004-0000-0000-00001A000000}"/>
    <hyperlink ref="J199" location="Euros!A10" display="&lt;&lt;&lt; назад" xr:uid="{00000000-0004-0000-0000-00001B000000}"/>
    <hyperlink ref="J279" location="Euros!A10" display="&lt;&lt;&lt; назад" xr:uid="{00000000-0004-0000-0000-00001C000000}"/>
    <hyperlink ref="J360" location="Euros!A10" display="&lt;&lt;&lt; назад" xr:uid="{00000000-0004-0000-0000-00001D000000}"/>
    <hyperlink ref="J436" location="Euros!A10" display="&lt;&lt;&lt; назад" xr:uid="{00000000-0004-0000-0000-00001E000000}"/>
    <hyperlink ref="J549" location="Euros!A10" display="&lt;&lt;&lt; назад" xr:uid="{00000000-0004-0000-0000-00001F000000}"/>
    <hyperlink ref="J575" location="Euros!A10" display="&lt;&lt;&lt; назад" xr:uid="{00000000-0004-0000-0000-000020000000}"/>
    <hyperlink ref="J594" location="Euros!A10" display="&lt;&lt;&lt; назад" xr:uid="{00000000-0004-0000-0000-000021000000}"/>
    <hyperlink ref="J701" location="Euros!A10" display="&lt;&lt;&lt; назад" xr:uid="{00000000-0004-0000-0000-000022000000}"/>
    <hyperlink ref="J715" location="Euros!A10" display="&lt;&lt;&lt; назад" xr:uid="{00000000-0004-0000-0000-000023000000}"/>
    <hyperlink ref="J632" location="Euros!A10" display="&lt;&lt;&lt; назад" xr:uid="{00000000-0004-0000-0000-000026000000}"/>
    <hyperlink ref="J755" location="Euros!A10" display="&lt;&lt;&lt; назад" xr:uid="{00000000-0004-0000-0000-000028000000}"/>
    <hyperlink ref="J872" location="Euros!A10" display="&lt;&lt;&lt; назад" xr:uid="{00000000-0004-0000-0000-00002A000000}"/>
    <hyperlink ref="J941" location="Euros!A10" display="&lt;&lt;&lt; назад" xr:uid="{00000000-0004-0000-0000-00002B000000}"/>
    <hyperlink ref="J156" location="Euros!A10" display="&lt;&lt;&lt; назад" xr:uid="{DB5B058E-A2F3-46A6-8D10-697C6696A495}"/>
  </hyperlinks>
  <printOptions verticalCentered="1"/>
  <pageMargins left="0.86" right="0.54" top="0.74803149606299213" bottom="0.74803149606299213" header="0.31496062992125984" footer="0.31496062992125984"/>
  <pageSetup paperSize="9" scale="60" fitToHeight="0" pageOrder="overThenDown" orientation="portrait" horizontalDpi="1200" verticalDpi="1200" r:id="rId1"/>
  <headerFooter>
    <oddHeader>&amp;C&amp;G</oddHeader>
    <oddFooter>&amp;C&amp;G</oddFooter>
  </headerFooter>
  <rowBreaks count="23" manualBreakCount="23">
    <brk id="50" max="16383" man="1"/>
    <brk id="124" max="10" man="1"/>
    <brk id="198" max="10" man="1"/>
    <brk id="278" max="10" man="1"/>
    <brk id="359" max="10" man="1"/>
    <brk id="435" max="10" man="1"/>
    <brk id="501" max="10" man="1"/>
    <brk id="548" max="10" man="1"/>
    <brk id="631" max="10" man="1"/>
    <brk id="700" max="10" man="1"/>
    <brk id="753" max="10" man="1"/>
    <brk id="804" max="16383" man="1"/>
    <brk id="124" max="10" man="1"/>
    <brk id="198" max="16383" man="1"/>
    <brk id="278" max="10" man="1"/>
    <brk id="359" max="10" man="1"/>
    <brk id="435" max="16383" man="1"/>
    <brk id="501" max="10" man="1"/>
    <brk id="548" max="16383" man="1"/>
    <brk id="700" max="10" man="1"/>
    <brk id="753" max="10" man="1"/>
    <brk id="871" max="10" man="1"/>
    <brk id="940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11"/>
  <sheetViews>
    <sheetView topLeftCell="A4" workbookViewId="0">
      <selection activeCell="F14" sqref="F14"/>
    </sheetView>
  </sheetViews>
  <sheetFormatPr defaultRowHeight="15"/>
  <cols>
    <col min="1" max="1" width="21.5703125" customWidth="1"/>
  </cols>
  <sheetData>
    <row r="1" spans="1:2">
      <c r="A1" s="1918" t="s">
        <v>1777</v>
      </c>
      <c r="B1" s="1918" t="s">
        <v>1244</v>
      </c>
    </row>
    <row r="2" spans="1:2">
      <c r="A2" s="1915" t="s">
        <v>1563</v>
      </c>
      <c r="B2" s="1917">
        <v>6.2</v>
      </c>
    </row>
    <row r="3" spans="1:2">
      <c r="A3" s="1915" t="s">
        <v>1517</v>
      </c>
      <c r="B3" s="1917">
        <v>1.4361249795918367</v>
      </c>
    </row>
    <row r="4" spans="1:2">
      <c r="A4" s="1915" t="s">
        <v>373</v>
      </c>
      <c r="B4" s="1917">
        <v>2.4689934545454539</v>
      </c>
    </row>
    <row r="5" spans="1:2">
      <c r="A5" s="1915" t="s">
        <v>371</v>
      </c>
      <c r="B5" s="1917">
        <v>3.3019069090909094</v>
      </c>
    </row>
    <row r="6" spans="1:2">
      <c r="A6" s="1915" t="s">
        <v>374</v>
      </c>
      <c r="B6" s="1917">
        <v>2.7069687272727272</v>
      </c>
    </row>
    <row r="7" spans="1:2">
      <c r="A7" s="1915" t="s">
        <v>372</v>
      </c>
      <c r="B7" s="1917">
        <v>3.5398821818181818</v>
      </c>
    </row>
    <row r="8" spans="1:2">
      <c r="A8" s="1915" t="s">
        <v>583</v>
      </c>
      <c r="B8" s="1917">
        <v>3.2424130909090909</v>
      </c>
    </row>
    <row r="9" spans="1:2">
      <c r="A9" s="1915" t="s">
        <v>582</v>
      </c>
      <c r="B9" s="1917">
        <v>3.0044378181818181</v>
      </c>
    </row>
    <row r="10" spans="1:2">
      <c r="A10" s="1915" t="s">
        <v>343</v>
      </c>
      <c r="B10" s="1917">
        <v>4.95</v>
      </c>
    </row>
    <row r="11" spans="1:2">
      <c r="A11" s="1915" t="s">
        <v>345</v>
      </c>
      <c r="B11" s="1917">
        <v>5.4359999999999999</v>
      </c>
    </row>
    <row r="12" spans="1:2">
      <c r="A12" s="1915" t="s">
        <v>346</v>
      </c>
      <c r="B12" s="1917">
        <v>8.1539999999999999</v>
      </c>
    </row>
    <row r="13" spans="1:2">
      <c r="A13" s="1915" t="s">
        <v>344</v>
      </c>
      <c r="B13" s="1917">
        <v>7.875</v>
      </c>
    </row>
    <row r="14" spans="1:2">
      <c r="A14" s="1915" t="s">
        <v>347</v>
      </c>
      <c r="B14" s="1917">
        <v>4.3890000000000002</v>
      </c>
    </row>
    <row r="15" spans="1:2">
      <c r="A15" s="1915" t="s">
        <v>350</v>
      </c>
      <c r="B15" s="1917">
        <v>5.98</v>
      </c>
    </row>
    <row r="16" spans="1:2">
      <c r="A16" s="1915" t="s">
        <v>349</v>
      </c>
      <c r="B16" s="1917">
        <v>4.3795000000000002</v>
      </c>
    </row>
    <row r="17" spans="1:2">
      <c r="A17" s="1915" t="s">
        <v>963</v>
      </c>
      <c r="B17" s="1917">
        <v>10.737</v>
      </c>
    </row>
    <row r="18" spans="1:2">
      <c r="A18" s="1915" t="s">
        <v>962</v>
      </c>
      <c r="B18" s="1917">
        <v>9.657</v>
      </c>
    </row>
    <row r="19" spans="1:2">
      <c r="A19" s="1915" t="s">
        <v>348</v>
      </c>
      <c r="B19" s="1917">
        <v>5.6239999999999997</v>
      </c>
    </row>
    <row r="20" spans="1:2">
      <c r="A20" s="1916" t="s">
        <v>1765</v>
      </c>
      <c r="B20" s="1917">
        <v>9.310004784688994</v>
      </c>
    </row>
    <row r="21" spans="1:2">
      <c r="A21" s="1915" t="s">
        <v>241</v>
      </c>
      <c r="B21" s="1917">
        <v>0.62</v>
      </c>
    </row>
    <row r="22" spans="1:2">
      <c r="A22" s="1915" t="s">
        <v>238</v>
      </c>
      <c r="B22" s="1917">
        <v>3.6599197166469892</v>
      </c>
    </row>
    <row r="23" spans="1:2">
      <c r="A23" s="1915" t="s">
        <v>1554</v>
      </c>
      <c r="B23" s="1917">
        <v>1</v>
      </c>
    </row>
    <row r="24" spans="1:2">
      <c r="A24" s="1915" t="s">
        <v>237</v>
      </c>
      <c r="B24" s="1917">
        <v>2.2651553509781355</v>
      </c>
    </row>
    <row r="25" spans="1:2">
      <c r="A25" s="1915" t="s">
        <v>242</v>
      </c>
      <c r="B25" s="1917">
        <v>1.1083590333716915</v>
      </c>
    </row>
    <row r="26" spans="1:2">
      <c r="A26" s="1915" t="s">
        <v>1523</v>
      </c>
      <c r="B26" s="1917">
        <v>1.0342784810126582</v>
      </c>
    </row>
    <row r="27" spans="1:2">
      <c r="A27" s="1915" t="s">
        <v>1537</v>
      </c>
      <c r="B27" s="1917">
        <v>0.68382048331415413</v>
      </c>
    </row>
    <row r="28" spans="1:2">
      <c r="A28" s="1915" t="s">
        <v>205</v>
      </c>
      <c r="B28" s="1917">
        <v>0.97849999999999993</v>
      </c>
    </row>
    <row r="29" spans="1:2">
      <c r="A29" s="1915" t="s">
        <v>239</v>
      </c>
      <c r="B29" s="1917">
        <v>6.7053000000000003</v>
      </c>
    </row>
    <row r="30" spans="1:2">
      <c r="A30" s="1915" t="s">
        <v>224</v>
      </c>
      <c r="B30" s="1917">
        <v>1.65</v>
      </c>
    </row>
    <row r="31" spans="1:2">
      <c r="A31" s="1915" t="s">
        <v>210</v>
      </c>
      <c r="B31" s="1917">
        <v>1.1083590333716915</v>
      </c>
    </row>
    <row r="32" spans="1:2">
      <c r="A32" s="1915" t="s">
        <v>189</v>
      </c>
      <c r="B32" s="1917">
        <v>1.64</v>
      </c>
    </row>
    <row r="33" spans="1:2">
      <c r="A33" s="1915" t="s">
        <v>240</v>
      </c>
      <c r="B33" s="1917">
        <v>9.2079952153110032</v>
      </c>
    </row>
    <row r="34" spans="1:2">
      <c r="A34" s="1915" t="s">
        <v>267</v>
      </c>
      <c r="B34" s="1917">
        <v>1.4246260069044878</v>
      </c>
    </row>
    <row r="35" spans="1:2">
      <c r="A35" s="1915" t="s">
        <v>244</v>
      </c>
      <c r="B35" s="1917">
        <v>3.53</v>
      </c>
    </row>
    <row r="36" spans="1:2">
      <c r="A36" s="1915" t="s">
        <v>212</v>
      </c>
      <c r="B36" s="1917">
        <v>1.8463153049482162</v>
      </c>
    </row>
    <row r="37" spans="1:2">
      <c r="A37" s="1915" t="s">
        <v>214</v>
      </c>
      <c r="B37" s="1917">
        <v>2.3214599728629577</v>
      </c>
    </row>
    <row r="38" spans="1:2">
      <c r="A38" s="1915" t="s">
        <v>207</v>
      </c>
      <c r="B38" s="1917">
        <v>2.2439832167832168</v>
      </c>
    </row>
    <row r="39" spans="1:2">
      <c r="A39" s="1915" t="s">
        <v>206</v>
      </c>
      <c r="B39" s="1917">
        <v>1.3737165775401066</v>
      </c>
    </row>
    <row r="40" spans="1:2">
      <c r="A40" s="1915" t="s">
        <v>218</v>
      </c>
      <c r="B40" s="1917">
        <v>3.2787338444687841</v>
      </c>
    </row>
    <row r="41" spans="1:2">
      <c r="A41" s="1915" t="s">
        <v>1685</v>
      </c>
      <c r="B41" s="1917">
        <v>1.4627999999999999</v>
      </c>
    </row>
    <row r="42" spans="1:2">
      <c r="A42" s="1915" t="s">
        <v>1556</v>
      </c>
      <c r="B42" s="1917">
        <v>2.0913509781357882</v>
      </c>
    </row>
    <row r="43" spans="1:2">
      <c r="A43" s="1915" t="s">
        <v>1641</v>
      </c>
      <c r="B43" s="1917">
        <v>2.2000000000000002</v>
      </c>
    </row>
    <row r="44" spans="1:2">
      <c r="A44" s="1915" t="s">
        <v>1552</v>
      </c>
      <c r="B44" s="1917">
        <v>0.59834292289988489</v>
      </c>
    </row>
    <row r="45" spans="1:2">
      <c r="A45" s="1915" t="s">
        <v>1524</v>
      </c>
      <c r="B45" s="1917">
        <v>1.6240736478711157</v>
      </c>
    </row>
    <row r="46" spans="1:2">
      <c r="A46" s="1915" t="s">
        <v>279</v>
      </c>
      <c r="B46" s="1917">
        <v>2.25</v>
      </c>
    </row>
    <row r="47" spans="1:2">
      <c r="A47" s="1915" t="s">
        <v>1623</v>
      </c>
      <c r="B47" s="1917">
        <v>3.641344073647871</v>
      </c>
    </row>
    <row r="48" spans="1:2">
      <c r="A48" s="1915" t="s">
        <v>220</v>
      </c>
      <c r="B48" s="1917">
        <v>1.6</v>
      </c>
    </row>
    <row r="49" spans="1:2">
      <c r="A49" s="1915" t="s">
        <v>199</v>
      </c>
      <c r="B49" s="1917">
        <v>4.405779393939393</v>
      </c>
    </row>
    <row r="50" spans="1:2">
      <c r="A50" s="1915" t="s">
        <v>861</v>
      </c>
      <c r="B50" s="1917">
        <v>4.8237836593785959</v>
      </c>
    </row>
    <row r="51" spans="1:2">
      <c r="A51" s="1915" t="s">
        <v>191</v>
      </c>
      <c r="B51" s="1917">
        <v>2.8293072497123126</v>
      </c>
    </row>
    <row r="52" spans="1:2">
      <c r="A52" s="1915" t="s">
        <v>545</v>
      </c>
      <c r="B52" s="1917">
        <v>19</v>
      </c>
    </row>
    <row r="53" spans="1:2">
      <c r="A53" s="1915" t="s">
        <v>1503</v>
      </c>
      <c r="B53" s="1917">
        <v>6.0033739930955123</v>
      </c>
    </row>
    <row r="54" spans="1:2">
      <c r="A54" s="1915" t="s">
        <v>1708</v>
      </c>
      <c r="B54" s="1917">
        <v>3.0259056386651322</v>
      </c>
    </row>
    <row r="55" spans="1:2">
      <c r="A55" s="1915" t="s">
        <v>1625</v>
      </c>
      <c r="B55" s="1917">
        <v>2.2224165707710011</v>
      </c>
    </row>
    <row r="56" spans="1:2">
      <c r="A56" s="1915" t="s">
        <v>1639</v>
      </c>
      <c r="B56" s="1917">
        <v>11.8</v>
      </c>
    </row>
    <row r="57" spans="1:2">
      <c r="A57" s="1915" t="s">
        <v>197</v>
      </c>
      <c r="B57" s="1917">
        <v>3.6897813578826231</v>
      </c>
    </row>
    <row r="58" spans="1:2">
      <c r="A58" s="1915" t="s">
        <v>193</v>
      </c>
      <c r="B58" s="1917">
        <v>4.6539923175416131</v>
      </c>
    </row>
    <row r="59" spans="1:2">
      <c r="A59" s="1915" t="s">
        <v>1638</v>
      </c>
      <c r="B59" s="1917">
        <v>7.665772087067861</v>
      </c>
    </row>
    <row r="60" spans="1:2">
      <c r="A60" s="1915" t="s">
        <v>1707</v>
      </c>
      <c r="B60" s="1917">
        <v>4.3052197928653611</v>
      </c>
    </row>
    <row r="61" spans="1:2">
      <c r="A61" s="1915" t="s">
        <v>1659</v>
      </c>
      <c r="B61" s="1917">
        <v>22.244615757575755</v>
      </c>
    </row>
    <row r="62" spans="1:2">
      <c r="A62" s="1915" t="s">
        <v>836</v>
      </c>
      <c r="B62" s="1917">
        <v>22.992198347107436</v>
      </c>
    </row>
    <row r="63" spans="1:2">
      <c r="A63" s="1915" t="s">
        <v>365</v>
      </c>
      <c r="B63" s="1917">
        <v>7.17</v>
      </c>
    </row>
    <row r="64" spans="1:2">
      <c r="A64" s="1915" t="s">
        <v>829</v>
      </c>
      <c r="B64" s="1917">
        <v>30.80032585596221</v>
      </c>
    </row>
    <row r="65" spans="1:2">
      <c r="A65" s="1915" t="s">
        <v>1644</v>
      </c>
      <c r="B65" s="1917">
        <v>20.676843636363635</v>
      </c>
    </row>
    <row r="66" spans="1:2">
      <c r="A66" s="1915" t="s">
        <v>738</v>
      </c>
      <c r="B66" s="1917">
        <v>18.9145</v>
      </c>
    </row>
    <row r="67" spans="1:2">
      <c r="A67" s="1915" t="s">
        <v>366</v>
      </c>
      <c r="B67" s="1917">
        <v>12.235116480254435</v>
      </c>
    </row>
    <row r="68" spans="1:2">
      <c r="A68" s="1915" t="s">
        <v>312</v>
      </c>
      <c r="B68" s="1917">
        <v>3.56</v>
      </c>
    </row>
    <row r="69" spans="1:2">
      <c r="A69" s="1915" t="s">
        <v>321</v>
      </c>
      <c r="B69" s="1917">
        <v>4.93</v>
      </c>
    </row>
    <row r="70" spans="1:2">
      <c r="A70" s="1915" t="s">
        <v>318</v>
      </c>
      <c r="B70" s="1917">
        <v>4.24</v>
      </c>
    </row>
    <row r="71" spans="1:2">
      <c r="A71" s="1915" t="s">
        <v>315</v>
      </c>
      <c r="B71" s="1917">
        <v>3.89</v>
      </c>
    </row>
    <row r="72" spans="1:2">
      <c r="A72" s="1915" t="s">
        <v>330</v>
      </c>
      <c r="B72" s="1917">
        <v>5.6402192254174386</v>
      </c>
    </row>
    <row r="73" spans="1:2">
      <c r="A73" s="1915" t="s">
        <v>333</v>
      </c>
      <c r="B73" s="1917">
        <v>4.9573227272727278</v>
      </c>
    </row>
    <row r="74" spans="1:2">
      <c r="A74" s="1915" t="s">
        <v>301</v>
      </c>
      <c r="B74" s="1917">
        <v>14.03</v>
      </c>
    </row>
    <row r="75" spans="1:2">
      <c r="A75" s="1915" t="s">
        <v>335</v>
      </c>
      <c r="B75" s="1917">
        <v>2.93</v>
      </c>
    </row>
    <row r="76" spans="1:2">
      <c r="A76" s="1915" t="s">
        <v>309</v>
      </c>
      <c r="B76" s="1917">
        <v>15.16</v>
      </c>
    </row>
    <row r="77" spans="1:2">
      <c r="A77" s="1915" t="s">
        <v>304</v>
      </c>
      <c r="B77" s="1917">
        <v>32.167331759149938</v>
      </c>
    </row>
    <row r="78" spans="1:2">
      <c r="A78" s="1915" t="s">
        <v>311</v>
      </c>
      <c r="B78" s="1917">
        <v>32.299999999999997</v>
      </c>
    </row>
    <row r="79" spans="1:2">
      <c r="A79" s="1915" t="s">
        <v>310</v>
      </c>
      <c r="B79" s="1917">
        <v>24.11</v>
      </c>
    </row>
    <row r="80" spans="1:2">
      <c r="A80" s="1915" t="s">
        <v>1770</v>
      </c>
      <c r="B80" s="1917">
        <v>2.4689934545454539</v>
      </c>
    </row>
    <row r="81" spans="1:2">
      <c r="A81" s="1915" t="s">
        <v>1766</v>
      </c>
      <c r="B81" s="1917">
        <v>3.3019069090909094</v>
      </c>
    </row>
    <row r="82" spans="1:2">
      <c r="A82" s="1915" t="s">
        <v>1771</v>
      </c>
      <c r="B82" s="1917">
        <v>2.7069687272727272</v>
      </c>
    </row>
    <row r="83" spans="1:2">
      <c r="A83" s="1915" t="s">
        <v>1767</v>
      </c>
      <c r="B83" s="1917">
        <v>3.5398821818181818</v>
      </c>
    </row>
    <row r="84" spans="1:2">
      <c r="A84" s="1915" t="s">
        <v>1769</v>
      </c>
      <c r="B84" s="1917">
        <v>3.2424130909090909</v>
      </c>
    </row>
    <row r="85" spans="1:2">
      <c r="A85" s="1915" t="s">
        <v>1768</v>
      </c>
      <c r="B85" s="1917">
        <v>3.0044378181818181</v>
      </c>
    </row>
    <row r="86" spans="1:2">
      <c r="A86" s="1915" t="s">
        <v>1750</v>
      </c>
      <c r="B86" s="1917">
        <v>4.95</v>
      </c>
    </row>
    <row r="87" spans="1:2">
      <c r="A87" s="1915" t="s">
        <v>1752</v>
      </c>
      <c r="B87" s="1917">
        <v>5.4359999999999999</v>
      </c>
    </row>
    <row r="88" spans="1:2">
      <c r="A88" s="1915" t="s">
        <v>1753</v>
      </c>
      <c r="B88" s="1917">
        <v>8.1539999999999999</v>
      </c>
    </row>
    <row r="89" spans="1:2">
      <c r="A89" s="1915" t="s">
        <v>1751</v>
      </c>
      <c r="B89" s="1917">
        <v>7.875</v>
      </c>
    </row>
    <row r="90" spans="1:2">
      <c r="A90" s="1915" t="s">
        <v>1756</v>
      </c>
      <c r="B90" s="1917">
        <v>4.3890000000000002</v>
      </c>
    </row>
    <row r="91" spans="1:2">
      <c r="A91" s="1915" t="s">
        <v>1759</v>
      </c>
      <c r="B91" s="1917">
        <v>5.98</v>
      </c>
    </row>
    <row r="92" spans="1:2">
      <c r="A92" s="1915" t="s">
        <v>1758</v>
      </c>
      <c r="B92" s="1917">
        <v>4.3795000000000002</v>
      </c>
    </row>
    <row r="93" spans="1:2">
      <c r="A93" s="1915" t="s">
        <v>1754</v>
      </c>
      <c r="B93" s="1917">
        <v>10.737</v>
      </c>
    </row>
    <row r="94" spans="1:2">
      <c r="A94" s="1915" t="s">
        <v>1755</v>
      </c>
      <c r="B94" s="1917">
        <v>9.657</v>
      </c>
    </row>
    <row r="95" spans="1:2">
      <c r="A95" s="1915" t="s">
        <v>1757</v>
      </c>
      <c r="B95" s="1917">
        <v>5.6239999999999997</v>
      </c>
    </row>
    <row r="96" spans="1:2">
      <c r="A96" s="1915" t="s">
        <v>1762</v>
      </c>
      <c r="B96" s="1917">
        <v>22.244615757575755</v>
      </c>
    </row>
    <row r="97" spans="1:2">
      <c r="A97" s="1915" t="s">
        <v>1763</v>
      </c>
      <c r="B97" s="1917">
        <v>22.992198347107436</v>
      </c>
    </row>
    <row r="98" spans="1:2">
      <c r="A98" s="1915" t="s">
        <v>1761</v>
      </c>
      <c r="B98" s="1917">
        <v>20.676843636363635</v>
      </c>
    </row>
    <row r="99" spans="1:2">
      <c r="A99" s="1915" t="s">
        <v>1760</v>
      </c>
      <c r="B99" s="1917">
        <v>18.9145</v>
      </c>
    </row>
    <row r="100" spans="1:2">
      <c r="A100" s="1915" t="s">
        <v>1746</v>
      </c>
      <c r="B100" s="1917">
        <v>3.56</v>
      </c>
    </row>
    <row r="101" spans="1:2">
      <c r="A101" s="1915" t="s">
        <v>1749</v>
      </c>
      <c r="B101" s="1917">
        <v>4.93</v>
      </c>
    </row>
    <row r="102" spans="1:2">
      <c r="A102" s="1915" t="s">
        <v>1748</v>
      </c>
      <c r="B102" s="1917">
        <v>4.24</v>
      </c>
    </row>
    <row r="103" spans="1:2">
      <c r="A103" s="1915" t="s">
        <v>1747</v>
      </c>
      <c r="B103" s="1917">
        <v>3.89</v>
      </c>
    </row>
    <row r="104" spans="1:2">
      <c r="A104" s="1915" t="s">
        <v>1741</v>
      </c>
      <c r="B104" s="1917">
        <v>14.03</v>
      </c>
    </row>
    <row r="105" spans="1:2">
      <c r="A105" s="1915" t="s">
        <v>1743</v>
      </c>
      <c r="B105" s="1917">
        <v>15.16</v>
      </c>
    </row>
    <row r="106" spans="1:2">
      <c r="A106" s="1915" t="s">
        <v>1742</v>
      </c>
      <c r="B106" s="1917">
        <v>32.167331759149938</v>
      </c>
    </row>
    <row r="107" spans="1:2">
      <c r="A107" s="1915" t="s">
        <v>1745</v>
      </c>
      <c r="B107" s="1917">
        <v>32.299999999999997</v>
      </c>
    </row>
    <row r="108" spans="1:2">
      <c r="A108" s="1915" t="s">
        <v>1744</v>
      </c>
      <c r="B108" s="1917">
        <v>24.11</v>
      </c>
    </row>
    <row r="109" spans="1:2">
      <c r="A109" s="1915" t="s">
        <v>1778</v>
      </c>
      <c r="B109" s="1917">
        <v>6.2</v>
      </c>
    </row>
    <row r="110" spans="1:2">
      <c r="A110" s="1915" t="s">
        <v>1779</v>
      </c>
      <c r="B110" s="1917">
        <v>30.8</v>
      </c>
    </row>
    <row r="111" spans="1:2">
      <c r="A111" s="1919"/>
      <c r="B111" s="191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573"/>
  <sheetViews>
    <sheetView topLeftCell="A45" workbookViewId="0">
      <selection activeCell="I188" sqref="I188"/>
    </sheetView>
  </sheetViews>
  <sheetFormatPr defaultRowHeight="15"/>
  <cols>
    <col min="1" max="1" width="23.7109375" bestFit="1" customWidth="1"/>
    <col min="3" max="3" width="12" bestFit="1" customWidth="1"/>
  </cols>
  <sheetData>
    <row r="1" spans="1:3">
      <c r="A1" s="2212" t="s">
        <v>10</v>
      </c>
      <c r="B1" s="1905"/>
      <c r="C1" s="1908"/>
    </row>
    <row r="2" spans="1:3" ht="15.75" thickBot="1">
      <c r="A2" s="2213"/>
      <c r="B2" s="1906" t="s">
        <v>1244</v>
      </c>
      <c r="C2" s="1908"/>
    </row>
    <row r="3" spans="1:3">
      <c r="A3" s="1907" t="s">
        <v>1726</v>
      </c>
      <c r="B3" s="1909">
        <v>0</v>
      </c>
      <c r="C3" s="1908">
        <v>0</v>
      </c>
    </row>
    <row r="4" spans="1:3">
      <c r="A4" s="1907" t="s">
        <v>1727</v>
      </c>
      <c r="B4" s="1909">
        <v>0</v>
      </c>
      <c r="C4" s="1908">
        <v>0</v>
      </c>
    </row>
    <row r="5" spans="1:3">
      <c r="A5" s="1907" t="s">
        <v>1584</v>
      </c>
      <c r="B5" s="1910">
        <v>63.86</v>
      </c>
      <c r="C5" s="1908" t="s">
        <v>1645</v>
      </c>
    </row>
    <row r="6" spans="1:3">
      <c r="A6" s="1907" t="s">
        <v>1596</v>
      </c>
      <c r="B6" s="1910">
        <v>26.6</v>
      </c>
      <c r="C6" s="1908" t="s">
        <v>1645</v>
      </c>
    </row>
    <row r="7" spans="1:3">
      <c r="A7" s="1907" t="s">
        <v>1585</v>
      </c>
      <c r="B7" s="1910">
        <v>71.42</v>
      </c>
      <c r="C7" s="1908" t="s">
        <v>1645</v>
      </c>
    </row>
    <row r="8" spans="1:3">
      <c r="A8" s="1907" t="s">
        <v>1597</v>
      </c>
      <c r="B8" s="1910">
        <v>34.119999999999997</v>
      </c>
      <c r="C8" s="1908" t="s">
        <v>1645</v>
      </c>
    </row>
    <row r="9" spans="1:3">
      <c r="A9" s="1907" t="s">
        <v>1586</v>
      </c>
      <c r="B9" s="1910">
        <v>77.72</v>
      </c>
      <c r="C9" s="1908" t="s">
        <v>1645</v>
      </c>
    </row>
    <row r="10" spans="1:3">
      <c r="A10" s="1907" t="s">
        <v>1598</v>
      </c>
      <c r="B10" s="1910">
        <v>42.92</v>
      </c>
      <c r="C10" s="1908" t="s">
        <v>1645</v>
      </c>
    </row>
    <row r="11" spans="1:3">
      <c r="A11" s="1907" t="s">
        <v>1587</v>
      </c>
      <c r="B11" s="1910">
        <v>90.69</v>
      </c>
      <c r="C11" s="1908" t="s">
        <v>1645</v>
      </c>
    </row>
    <row r="12" spans="1:3">
      <c r="A12" s="1907" t="s">
        <v>1599</v>
      </c>
      <c r="B12" s="1910">
        <v>50.64</v>
      </c>
      <c r="C12" s="1908" t="s">
        <v>1645</v>
      </c>
    </row>
    <row r="13" spans="1:3">
      <c r="A13" s="1907" t="s">
        <v>1588</v>
      </c>
      <c r="B13" s="1910">
        <v>95.44</v>
      </c>
      <c r="C13" s="1908" t="s">
        <v>1645</v>
      </c>
    </row>
    <row r="14" spans="1:3">
      <c r="A14" s="1907" t="s">
        <v>1600</v>
      </c>
      <c r="B14" s="1910">
        <v>59.28</v>
      </c>
      <c r="C14" s="1908" t="s">
        <v>1645</v>
      </c>
    </row>
    <row r="15" spans="1:3">
      <c r="A15" s="1907" t="s">
        <v>1589</v>
      </c>
      <c r="B15" s="1910">
        <v>94.51</v>
      </c>
      <c r="C15" s="1908" t="s">
        <v>1645</v>
      </c>
    </row>
    <row r="16" spans="1:3">
      <c r="A16" s="1907" t="s">
        <v>1601</v>
      </c>
      <c r="B16" s="1910">
        <v>66.77</v>
      </c>
      <c r="C16" s="1908" t="s">
        <v>1645</v>
      </c>
    </row>
    <row r="17" spans="1:3">
      <c r="A17" s="1907" t="s">
        <v>1655</v>
      </c>
      <c r="B17" s="1910">
        <v>392.16</v>
      </c>
      <c r="C17" s="1908">
        <v>0</v>
      </c>
    </row>
    <row r="18" spans="1:3">
      <c r="A18" s="1907" t="s">
        <v>1654</v>
      </c>
      <c r="B18" s="1910">
        <v>114.77</v>
      </c>
      <c r="C18" s="1908">
        <v>0</v>
      </c>
    </row>
    <row r="19" spans="1:3">
      <c r="A19" s="1907" t="s">
        <v>1578</v>
      </c>
      <c r="B19" s="1910">
        <v>147.13999999999999</v>
      </c>
      <c r="C19" s="1908">
        <v>0</v>
      </c>
    </row>
    <row r="20" spans="1:3">
      <c r="A20" s="1907" t="s">
        <v>1590</v>
      </c>
      <c r="B20" s="1910">
        <v>97.7</v>
      </c>
      <c r="C20" s="1908">
        <v>0</v>
      </c>
    </row>
    <row r="21" spans="1:3">
      <c r="A21" s="1907" t="s">
        <v>1579</v>
      </c>
      <c r="B21" s="1910">
        <v>154.22</v>
      </c>
      <c r="C21" s="1908">
        <v>0</v>
      </c>
    </row>
    <row r="22" spans="1:3">
      <c r="A22" s="1907" t="s">
        <v>1591</v>
      </c>
      <c r="B22" s="1910">
        <v>47.12</v>
      </c>
      <c r="C22" s="1908" t="s">
        <v>1645</v>
      </c>
    </row>
    <row r="23" spans="1:3">
      <c r="A23" s="1907" t="s">
        <v>1580</v>
      </c>
      <c r="B23" s="1910">
        <v>166.42</v>
      </c>
      <c r="C23" s="1908">
        <v>0</v>
      </c>
    </row>
    <row r="24" spans="1:3">
      <c r="A24" s="1907" t="s">
        <v>1592</v>
      </c>
      <c r="B24" s="1910">
        <v>110.06</v>
      </c>
      <c r="C24" s="1908">
        <v>0</v>
      </c>
    </row>
    <row r="25" spans="1:3">
      <c r="A25" s="1907" t="s">
        <v>1581</v>
      </c>
      <c r="B25" s="1910">
        <v>194.16</v>
      </c>
      <c r="C25" s="1908">
        <v>0</v>
      </c>
    </row>
    <row r="26" spans="1:3">
      <c r="A26" s="1907" t="s">
        <v>1593</v>
      </c>
      <c r="B26" s="1910">
        <v>129.43</v>
      </c>
      <c r="C26" s="1908">
        <v>0</v>
      </c>
    </row>
    <row r="27" spans="1:3">
      <c r="A27" s="1907" t="s">
        <v>1582</v>
      </c>
      <c r="B27" s="1910">
        <v>221.89</v>
      </c>
      <c r="C27" s="1908">
        <v>0</v>
      </c>
    </row>
    <row r="28" spans="1:3">
      <c r="A28" s="1907" t="s">
        <v>1594</v>
      </c>
      <c r="B28" s="1910">
        <v>160</v>
      </c>
      <c r="C28" s="1908">
        <v>0</v>
      </c>
    </row>
    <row r="29" spans="1:3">
      <c r="A29" s="1907" t="s">
        <v>1583</v>
      </c>
      <c r="B29" s="1910">
        <v>259.55</v>
      </c>
      <c r="C29" s="1908">
        <v>0</v>
      </c>
    </row>
    <row r="30" spans="1:3">
      <c r="A30" s="1907" t="s">
        <v>1595</v>
      </c>
      <c r="B30" s="1910">
        <v>180</v>
      </c>
      <c r="C30" s="1908">
        <v>0</v>
      </c>
    </row>
    <row r="31" spans="1:3">
      <c r="A31" s="1907" t="s">
        <v>1653</v>
      </c>
      <c r="B31" s="1910">
        <v>338.19</v>
      </c>
      <c r="C31" s="1908">
        <v>0</v>
      </c>
    </row>
    <row r="32" spans="1:3">
      <c r="A32" s="1907" t="s">
        <v>720</v>
      </c>
      <c r="B32" s="1910">
        <v>2.31</v>
      </c>
      <c r="C32" s="1908" t="s">
        <v>1645</v>
      </c>
    </row>
    <row r="33" spans="1:3">
      <c r="A33" s="1907" t="s">
        <v>1683</v>
      </c>
      <c r="B33" s="1910">
        <v>2.94</v>
      </c>
      <c r="C33" s="1908" t="s">
        <v>1645</v>
      </c>
    </row>
    <row r="34" spans="1:3">
      <c r="A34" s="1907" t="s">
        <v>1682</v>
      </c>
      <c r="B34" s="1910">
        <v>3.52</v>
      </c>
      <c r="C34" s="1908" t="s">
        <v>1645</v>
      </c>
    </row>
    <row r="35" spans="1:3">
      <c r="A35" s="1907" t="s">
        <v>1684</v>
      </c>
      <c r="B35" s="1910">
        <v>1.32</v>
      </c>
      <c r="C35" s="1908" t="s">
        <v>1645</v>
      </c>
    </row>
    <row r="36" spans="1:3">
      <c r="A36" s="1907" t="s">
        <v>1685</v>
      </c>
      <c r="B36" s="1910">
        <v>1.38</v>
      </c>
      <c r="C36" s="1908">
        <v>0</v>
      </c>
    </row>
    <row r="37" spans="1:3">
      <c r="A37" s="1907" t="s">
        <v>1640</v>
      </c>
      <c r="B37" s="1910">
        <v>2.4</v>
      </c>
      <c r="C37" s="1908">
        <v>0</v>
      </c>
    </row>
    <row r="38" spans="1:3">
      <c r="A38" s="1907" t="s">
        <v>278</v>
      </c>
      <c r="B38" s="1910">
        <v>1.94</v>
      </c>
      <c r="C38" s="1908">
        <v>0</v>
      </c>
    </row>
    <row r="39" spans="1:3">
      <c r="A39" s="1907" t="s">
        <v>456</v>
      </c>
      <c r="B39" s="1910">
        <v>1.63</v>
      </c>
      <c r="C39" s="1908" t="s">
        <v>1645</v>
      </c>
    </row>
    <row r="40" spans="1:3">
      <c r="A40" s="1907" t="s">
        <v>457</v>
      </c>
      <c r="B40" s="1910">
        <v>1.83</v>
      </c>
      <c r="C40" s="1908" t="s">
        <v>1645</v>
      </c>
    </row>
    <row r="41" spans="1:3">
      <c r="A41" s="1907" t="s">
        <v>537</v>
      </c>
      <c r="B41" s="1910">
        <v>2.96</v>
      </c>
      <c r="C41" s="1908">
        <v>0</v>
      </c>
    </row>
    <row r="42" spans="1:3">
      <c r="A42" s="1907" t="s">
        <v>538</v>
      </c>
      <c r="B42" s="1910">
        <v>1.77</v>
      </c>
      <c r="C42" s="1908" t="s">
        <v>1645</v>
      </c>
    </row>
    <row r="43" spans="1:3">
      <c r="A43" s="1907" t="s">
        <v>681</v>
      </c>
      <c r="B43" s="1910">
        <v>4.63</v>
      </c>
      <c r="C43" s="1908">
        <v>0</v>
      </c>
    </row>
    <row r="44" spans="1:3">
      <c r="A44" s="1907" t="s">
        <v>980</v>
      </c>
      <c r="B44" s="1910">
        <v>4.8099999999999996</v>
      </c>
      <c r="C44" s="1908">
        <v>0</v>
      </c>
    </row>
    <row r="45" spans="1:3">
      <c r="A45" s="1907" t="s">
        <v>981</v>
      </c>
      <c r="B45" s="1910">
        <v>5.19</v>
      </c>
      <c r="C45" s="1908">
        <v>0</v>
      </c>
    </row>
    <row r="46" spans="1:3">
      <c r="A46" s="1907" t="s">
        <v>591</v>
      </c>
      <c r="B46" s="1910">
        <v>0.56000000000000005</v>
      </c>
      <c r="C46" s="1908">
        <v>0</v>
      </c>
    </row>
    <row r="47" spans="1:3">
      <c r="A47" s="1907" t="s">
        <v>1521</v>
      </c>
      <c r="B47" s="1910">
        <v>26.73</v>
      </c>
      <c r="C47" s="1908">
        <v>0</v>
      </c>
    </row>
    <row r="48" spans="1:3">
      <c r="A48" s="1907" t="s">
        <v>1522</v>
      </c>
      <c r="B48" s="1910">
        <v>22.17</v>
      </c>
      <c r="C48" s="1908">
        <v>0</v>
      </c>
    </row>
    <row r="49" spans="1:3">
      <c r="A49" s="1907" t="s">
        <v>1703</v>
      </c>
      <c r="B49" s="1910">
        <v>3.68</v>
      </c>
      <c r="C49" s="1908">
        <v>0</v>
      </c>
    </row>
    <row r="50" spans="1:3">
      <c r="A50" s="1907" t="s">
        <v>1704</v>
      </c>
      <c r="B50" s="1910">
        <v>3.01</v>
      </c>
      <c r="C50" s="1908">
        <v>0</v>
      </c>
    </row>
    <row r="51" spans="1:3">
      <c r="A51" s="1907" t="s">
        <v>270</v>
      </c>
      <c r="B51" s="1910">
        <v>1.37</v>
      </c>
      <c r="C51" s="1908">
        <v>0</v>
      </c>
    </row>
    <row r="52" spans="1:3">
      <c r="A52" s="1907" t="s">
        <v>268</v>
      </c>
      <c r="B52" s="1910">
        <v>0.41</v>
      </c>
      <c r="C52" s="1908">
        <v>0</v>
      </c>
    </row>
    <row r="53" spans="1:3">
      <c r="A53" s="1907" t="s">
        <v>1702</v>
      </c>
      <c r="B53" s="1910">
        <v>5</v>
      </c>
      <c r="C53" s="1908">
        <v>0</v>
      </c>
    </row>
    <row r="54" spans="1:3">
      <c r="A54" s="1907" t="s">
        <v>269</v>
      </c>
      <c r="B54" s="1910">
        <v>0.77</v>
      </c>
      <c r="C54" s="1908">
        <v>0</v>
      </c>
    </row>
    <row r="55" spans="1:3">
      <c r="A55" s="1907" t="s">
        <v>589</v>
      </c>
      <c r="B55" s="1910">
        <v>0.46</v>
      </c>
      <c r="C55" s="1908">
        <v>0</v>
      </c>
    </row>
    <row r="56" spans="1:3">
      <c r="A56" s="1907" t="s">
        <v>990</v>
      </c>
      <c r="B56" s="1910">
        <v>0.65</v>
      </c>
      <c r="C56" s="1908">
        <v>0</v>
      </c>
    </row>
    <row r="57" spans="1:3">
      <c r="A57" s="1907" t="s">
        <v>798</v>
      </c>
      <c r="B57" s="1910">
        <v>6.45</v>
      </c>
      <c r="C57" s="1908" t="s">
        <v>1645</v>
      </c>
    </row>
    <row r="58" spans="1:3">
      <c r="A58" s="1907" t="s">
        <v>797</v>
      </c>
      <c r="B58" s="1910">
        <v>4.78</v>
      </c>
      <c r="C58" s="1908" t="s">
        <v>1645</v>
      </c>
    </row>
    <row r="59" spans="1:3">
      <c r="A59" s="1907" t="s">
        <v>796</v>
      </c>
      <c r="B59" s="1910">
        <v>10.65</v>
      </c>
      <c r="C59" s="1908">
        <v>0</v>
      </c>
    </row>
    <row r="60" spans="1:3">
      <c r="A60" s="1907" t="s">
        <v>794</v>
      </c>
      <c r="B60" s="1910">
        <v>1.6</v>
      </c>
      <c r="C60" s="1908" t="s">
        <v>1645</v>
      </c>
    </row>
    <row r="61" spans="1:3">
      <c r="A61" s="1907" t="s">
        <v>799</v>
      </c>
      <c r="B61" s="1910">
        <v>9.4700000000000006</v>
      </c>
      <c r="C61" s="1908" t="s">
        <v>1645</v>
      </c>
    </row>
    <row r="62" spans="1:3">
      <c r="A62" s="1907" t="s">
        <v>795</v>
      </c>
      <c r="B62" s="1910">
        <v>2.39</v>
      </c>
      <c r="C62" s="1908" t="s">
        <v>1645</v>
      </c>
    </row>
    <row r="63" spans="1:3">
      <c r="A63" s="1907" t="s">
        <v>349</v>
      </c>
      <c r="B63" s="1910">
        <v>4.6100000000000003</v>
      </c>
      <c r="C63" s="1908">
        <v>0</v>
      </c>
    </row>
    <row r="64" spans="1:3">
      <c r="A64" s="1907" t="s">
        <v>350</v>
      </c>
      <c r="B64" s="1910">
        <v>6.29</v>
      </c>
      <c r="C64" s="1908">
        <v>0</v>
      </c>
    </row>
    <row r="65" spans="1:3">
      <c r="A65" s="1907" t="s">
        <v>347</v>
      </c>
      <c r="B65" s="1910">
        <v>4.62</v>
      </c>
      <c r="C65" s="1908">
        <v>0</v>
      </c>
    </row>
    <row r="66" spans="1:3">
      <c r="A66" s="1907" t="s">
        <v>348</v>
      </c>
      <c r="B66" s="1910">
        <v>5.92</v>
      </c>
      <c r="C66" s="1908">
        <v>0</v>
      </c>
    </row>
    <row r="67" spans="1:3">
      <c r="A67" s="1907" t="s">
        <v>361</v>
      </c>
      <c r="B67" s="1910">
        <v>6.2</v>
      </c>
      <c r="C67" s="1908" t="s">
        <v>1645</v>
      </c>
    </row>
    <row r="68" spans="1:3">
      <c r="A68" s="1907" t="s">
        <v>362</v>
      </c>
      <c r="B68" s="1910">
        <v>6.91</v>
      </c>
      <c r="C68" s="1908" t="s">
        <v>1645</v>
      </c>
    </row>
    <row r="69" spans="1:3">
      <c r="A69" s="1907" t="s">
        <v>813</v>
      </c>
      <c r="B69" s="1910">
        <v>5.56</v>
      </c>
      <c r="C69" s="1908" t="s">
        <v>1645</v>
      </c>
    </row>
    <row r="70" spans="1:3">
      <c r="A70" s="1907" t="s">
        <v>812</v>
      </c>
      <c r="B70" s="1910">
        <v>10.4</v>
      </c>
      <c r="C70" s="1908">
        <v>0</v>
      </c>
    </row>
    <row r="71" spans="1:3">
      <c r="A71" s="1907" t="s">
        <v>811</v>
      </c>
      <c r="B71" s="1910">
        <v>6.81</v>
      </c>
      <c r="C71" s="1908">
        <v>0</v>
      </c>
    </row>
    <row r="72" spans="1:3">
      <c r="A72" s="1907" t="s">
        <v>809</v>
      </c>
      <c r="B72" s="1910">
        <v>3.49</v>
      </c>
      <c r="C72" s="1908">
        <v>0</v>
      </c>
    </row>
    <row r="73" spans="1:3">
      <c r="A73" s="1907" t="s">
        <v>814</v>
      </c>
      <c r="B73" s="1910">
        <v>9.0299999999999994</v>
      </c>
      <c r="C73" s="1908" t="s">
        <v>1645</v>
      </c>
    </row>
    <row r="74" spans="1:3">
      <c r="A74" s="1907" t="s">
        <v>810</v>
      </c>
      <c r="B74" s="1910">
        <v>4.8</v>
      </c>
      <c r="C74" s="1908">
        <v>0</v>
      </c>
    </row>
    <row r="75" spans="1:3">
      <c r="A75" s="1907" t="s">
        <v>360</v>
      </c>
      <c r="B75" s="1910">
        <v>8.93</v>
      </c>
      <c r="C75" s="1908">
        <v>0</v>
      </c>
    </row>
    <row r="76" spans="1:3">
      <c r="A76" s="1907" t="s">
        <v>359</v>
      </c>
      <c r="B76" s="1910">
        <v>5.41</v>
      </c>
      <c r="C76" s="1908">
        <v>0</v>
      </c>
    </row>
    <row r="77" spans="1:3">
      <c r="A77" s="1907" t="s">
        <v>357</v>
      </c>
      <c r="B77" s="1910">
        <v>2.59</v>
      </c>
      <c r="C77" s="1908">
        <v>0</v>
      </c>
    </row>
    <row r="78" spans="1:3">
      <c r="A78" s="1907" t="s">
        <v>358</v>
      </c>
      <c r="B78" s="1910">
        <v>3.51</v>
      </c>
      <c r="C78" s="1908">
        <v>0</v>
      </c>
    </row>
    <row r="79" spans="1:3">
      <c r="A79" s="1907" t="s">
        <v>854</v>
      </c>
      <c r="B79" s="1910">
        <v>1.18</v>
      </c>
      <c r="C79" s="1908">
        <v>0</v>
      </c>
    </row>
    <row r="80" spans="1:3">
      <c r="A80" s="1907" t="s">
        <v>686</v>
      </c>
      <c r="B80" s="1910">
        <v>1.33</v>
      </c>
      <c r="C80" s="1908" t="s">
        <v>1645</v>
      </c>
    </row>
    <row r="81" spans="1:3">
      <c r="A81" s="1907" t="s">
        <v>688</v>
      </c>
      <c r="B81" s="1910">
        <v>3.51</v>
      </c>
      <c r="C81" s="1908">
        <v>0</v>
      </c>
    </row>
    <row r="82" spans="1:3">
      <c r="A82" s="1907" t="s">
        <v>690</v>
      </c>
      <c r="B82" s="1910">
        <v>3.85</v>
      </c>
      <c r="C82" s="1908">
        <v>0</v>
      </c>
    </row>
    <row r="83" spans="1:3">
      <c r="A83" s="1907" t="s">
        <v>608</v>
      </c>
      <c r="B83" s="1910">
        <v>5.79</v>
      </c>
      <c r="C83" s="1908" t="s">
        <v>1645</v>
      </c>
    </row>
    <row r="84" spans="1:3">
      <c r="A84" s="1907" t="s">
        <v>1661</v>
      </c>
      <c r="B84" s="1910">
        <v>4.46</v>
      </c>
      <c r="C84" s="1908" t="s">
        <v>1645</v>
      </c>
    </row>
    <row r="85" spans="1:3">
      <c r="A85" s="1907" t="s">
        <v>1662</v>
      </c>
      <c r="B85" s="1910">
        <v>3.37</v>
      </c>
      <c r="C85" s="1908" t="s">
        <v>1645</v>
      </c>
    </row>
    <row r="86" spans="1:3">
      <c r="A86" s="1907" t="s">
        <v>1664</v>
      </c>
      <c r="B86" s="1910">
        <v>1.72</v>
      </c>
      <c r="C86" s="1908" t="s">
        <v>1645</v>
      </c>
    </row>
    <row r="87" spans="1:3">
      <c r="A87" s="1907" t="s">
        <v>1660</v>
      </c>
      <c r="B87" s="1910">
        <v>8.6999999999999993</v>
      </c>
      <c r="C87" s="1908" t="s">
        <v>1645</v>
      </c>
    </row>
    <row r="88" spans="1:3">
      <c r="A88" s="1907" t="s">
        <v>1663</v>
      </c>
      <c r="B88" s="1910">
        <v>1.36</v>
      </c>
      <c r="C88" s="1908" t="s">
        <v>1645</v>
      </c>
    </row>
    <row r="89" spans="1:3">
      <c r="A89" s="1907" t="s">
        <v>345</v>
      </c>
      <c r="B89" s="1910">
        <v>6.04</v>
      </c>
      <c r="C89" s="1908">
        <v>0</v>
      </c>
    </row>
    <row r="90" spans="1:3">
      <c r="A90" s="1907" t="s">
        <v>1717</v>
      </c>
      <c r="B90" s="1910">
        <v>6.8</v>
      </c>
      <c r="C90" s="1908">
        <v>0</v>
      </c>
    </row>
    <row r="91" spans="1:3">
      <c r="A91" s="1907" t="s">
        <v>346</v>
      </c>
      <c r="B91" s="1910">
        <v>9.06</v>
      </c>
      <c r="C91" s="1908">
        <v>0</v>
      </c>
    </row>
    <row r="92" spans="1:3">
      <c r="A92" s="1907" t="s">
        <v>1716</v>
      </c>
      <c r="B92" s="1910">
        <v>3.86</v>
      </c>
      <c r="C92" s="1908" t="s">
        <v>1645</v>
      </c>
    </row>
    <row r="93" spans="1:3">
      <c r="A93" s="1907" t="s">
        <v>343</v>
      </c>
      <c r="B93" s="1910">
        <v>5.5</v>
      </c>
      <c r="C93" s="1908">
        <v>0</v>
      </c>
    </row>
    <row r="94" spans="1:3">
      <c r="A94" s="1907" t="s">
        <v>1719</v>
      </c>
      <c r="B94" s="1910">
        <v>5.91</v>
      </c>
      <c r="C94" s="1908">
        <v>0</v>
      </c>
    </row>
    <row r="95" spans="1:3">
      <c r="A95" s="1907" t="s">
        <v>344</v>
      </c>
      <c r="B95" s="1910">
        <v>8.75</v>
      </c>
      <c r="C95" s="1908">
        <v>0</v>
      </c>
    </row>
    <row r="96" spans="1:3">
      <c r="A96" s="1907" t="s">
        <v>1718</v>
      </c>
      <c r="B96" s="1910">
        <v>8.41</v>
      </c>
      <c r="C96" s="1908">
        <v>0</v>
      </c>
    </row>
    <row r="97" spans="1:3">
      <c r="A97" s="1907" t="s">
        <v>970</v>
      </c>
      <c r="B97" s="1910">
        <v>9.5299999999999994</v>
      </c>
      <c r="C97" s="1908">
        <v>0</v>
      </c>
    </row>
    <row r="98" spans="1:3">
      <c r="A98" s="1907" t="s">
        <v>971</v>
      </c>
      <c r="B98" s="1910">
        <v>10.35</v>
      </c>
      <c r="C98" s="1908">
        <v>0</v>
      </c>
    </row>
    <row r="99" spans="1:3">
      <c r="A99" s="1907" t="s">
        <v>353</v>
      </c>
      <c r="B99" s="1910">
        <v>5.95</v>
      </c>
      <c r="C99" s="1908">
        <v>0</v>
      </c>
    </row>
    <row r="100" spans="1:3">
      <c r="A100" s="1907" t="s">
        <v>354</v>
      </c>
      <c r="B100" s="1910">
        <v>7.77</v>
      </c>
      <c r="C100" s="1908">
        <v>0</v>
      </c>
    </row>
    <row r="101" spans="1:3">
      <c r="A101" s="1907" t="s">
        <v>351</v>
      </c>
      <c r="B101" s="1910">
        <v>6.04</v>
      </c>
      <c r="C101" s="1908">
        <v>0</v>
      </c>
    </row>
    <row r="102" spans="1:3">
      <c r="A102" s="1907" t="s">
        <v>352</v>
      </c>
      <c r="B102" s="1910">
        <v>6.47</v>
      </c>
      <c r="C102" s="1908">
        <v>0</v>
      </c>
    </row>
    <row r="103" spans="1:3">
      <c r="A103" s="1907" t="s">
        <v>747</v>
      </c>
      <c r="B103" s="1910">
        <v>5.36</v>
      </c>
      <c r="C103" s="1908">
        <v>0</v>
      </c>
    </row>
    <row r="104" spans="1:3">
      <c r="A104" s="1907" t="s">
        <v>595</v>
      </c>
      <c r="B104" s="1910">
        <v>2.04</v>
      </c>
      <c r="C104" s="1908">
        <v>0</v>
      </c>
    </row>
    <row r="105" spans="1:3">
      <c r="A105" s="1907" t="s">
        <v>1614</v>
      </c>
      <c r="B105" s="1910">
        <v>5.93</v>
      </c>
      <c r="C105" s="1908" t="s">
        <v>1645</v>
      </c>
    </row>
    <row r="106" spans="1:3">
      <c r="A106" s="1907" t="s">
        <v>1615</v>
      </c>
      <c r="B106" s="1910">
        <v>8.01</v>
      </c>
      <c r="C106" s="1908" t="s">
        <v>1645</v>
      </c>
    </row>
    <row r="107" spans="1:3">
      <c r="A107" s="1907" t="s">
        <v>1616</v>
      </c>
      <c r="B107" s="1910">
        <v>9.86</v>
      </c>
      <c r="C107" s="1908" t="s">
        <v>1645</v>
      </c>
    </row>
    <row r="108" spans="1:3">
      <c r="A108" s="1907" t="s">
        <v>1617</v>
      </c>
      <c r="B108" s="1910">
        <v>12.09</v>
      </c>
      <c r="C108" s="1908" t="s">
        <v>1645</v>
      </c>
    </row>
    <row r="109" spans="1:3">
      <c r="A109" s="1907" t="s">
        <v>1618</v>
      </c>
      <c r="B109" s="1910">
        <v>13.75</v>
      </c>
      <c r="C109" s="1908" t="s">
        <v>1645</v>
      </c>
    </row>
    <row r="110" spans="1:3">
      <c r="A110" s="1907" t="s">
        <v>1619</v>
      </c>
      <c r="B110" s="1910">
        <v>16.059999999999999</v>
      </c>
      <c r="C110" s="1908" t="s">
        <v>1645</v>
      </c>
    </row>
    <row r="111" spans="1:3">
      <c r="A111" s="1907" t="s">
        <v>1608</v>
      </c>
      <c r="B111" s="1910">
        <v>10.210000000000001</v>
      </c>
      <c r="C111" s="1908">
        <v>0</v>
      </c>
    </row>
    <row r="112" spans="1:3">
      <c r="A112" s="1907" t="s">
        <v>1609</v>
      </c>
      <c r="B112" s="1910">
        <v>6.86</v>
      </c>
      <c r="C112" s="1908" t="s">
        <v>1645</v>
      </c>
    </row>
    <row r="113" spans="1:3">
      <c r="A113" s="1907" t="s">
        <v>1610</v>
      </c>
      <c r="B113" s="1910">
        <v>8.73</v>
      </c>
      <c r="C113" s="1908" t="s">
        <v>1645</v>
      </c>
    </row>
    <row r="114" spans="1:3">
      <c r="A114" s="1907" t="s">
        <v>1611</v>
      </c>
      <c r="B114" s="1910">
        <v>10.59</v>
      </c>
      <c r="C114" s="1908" t="s">
        <v>1645</v>
      </c>
    </row>
    <row r="115" spans="1:3">
      <c r="A115" s="1907" t="s">
        <v>1612</v>
      </c>
      <c r="B115" s="1910">
        <v>12.25</v>
      </c>
      <c r="C115" s="1908" t="s">
        <v>1645</v>
      </c>
    </row>
    <row r="116" spans="1:3">
      <c r="A116" s="1907" t="s">
        <v>1613</v>
      </c>
      <c r="B116" s="1910">
        <v>14.34</v>
      </c>
      <c r="C116" s="1908" t="s">
        <v>1645</v>
      </c>
    </row>
    <row r="117" spans="1:3">
      <c r="A117" s="1907" t="s">
        <v>1602</v>
      </c>
      <c r="B117" s="1910">
        <v>3.99</v>
      </c>
      <c r="C117" s="1908" t="s">
        <v>1645</v>
      </c>
    </row>
    <row r="118" spans="1:3">
      <c r="A118" s="1907" t="s">
        <v>1603</v>
      </c>
      <c r="B118" s="1910">
        <v>5.3</v>
      </c>
      <c r="C118" s="1908" t="s">
        <v>1645</v>
      </c>
    </row>
    <row r="119" spans="1:3">
      <c r="A119" s="1907" t="s">
        <v>1604</v>
      </c>
      <c r="B119" s="1910">
        <v>6.6</v>
      </c>
      <c r="C119" s="1908" t="s">
        <v>1645</v>
      </c>
    </row>
    <row r="120" spans="1:3">
      <c r="A120" s="1907" t="s">
        <v>1605</v>
      </c>
      <c r="B120" s="1910">
        <v>7.93</v>
      </c>
      <c r="C120" s="1908" t="s">
        <v>1645</v>
      </c>
    </row>
    <row r="121" spans="1:3">
      <c r="A121" s="1907" t="s">
        <v>1606</v>
      </c>
      <c r="B121" s="1910">
        <v>9.25</v>
      </c>
      <c r="C121" s="1908" t="s">
        <v>1645</v>
      </c>
    </row>
    <row r="122" spans="1:3">
      <c r="A122" s="1907" t="s">
        <v>1607</v>
      </c>
      <c r="B122" s="1910">
        <v>10.56</v>
      </c>
      <c r="C122" s="1908" t="s">
        <v>1645</v>
      </c>
    </row>
    <row r="123" spans="1:3">
      <c r="A123" s="1907" t="s">
        <v>1567</v>
      </c>
      <c r="B123" s="1910">
        <v>13.06</v>
      </c>
      <c r="C123" s="1908">
        <v>0</v>
      </c>
    </row>
    <row r="124" spans="1:3">
      <c r="A124" s="1907" t="s">
        <v>1565</v>
      </c>
      <c r="B124" s="1910">
        <v>8</v>
      </c>
      <c r="C124" s="1908">
        <v>0</v>
      </c>
    </row>
    <row r="125" spans="1:3">
      <c r="A125" s="1907" t="s">
        <v>1568</v>
      </c>
      <c r="B125" s="1910">
        <v>18.14</v>
      </c>
      <c r="C125" s="1908">
        <v>0</v>
      </c>
    </row>
    <row r="126" spans="1:3">
      <c r="A126" s="1907" t="s">
        <v>1566</v>
      </c>
      <c r="B126" s="1910">
        <v>12.32</v>
      </c>
      <c r="C126" s="1908">
        <v>0</v>
      </c>
    </row>
    <row r="127" spans="1:3">
      <c r="A127" s="1907" t="s">
        <v>1572</v>
      </c>
      <c r="B127" s="1910">
        <v>12.31</v>
      </c>
      <c r="C127" s="1908">
        <v>0</v>
      </c>
    </row>
    <row r="128" spans="1:3">
      <c r="A128" s="1907" t="s">
        <v>1569</v>
      </c>
      <c r="B128" s="1910">
        <v>9.24</v>
      </c>
      <c r="C128" s="1908">
        <v>0</v>
      </c>
    </row>
    <row r="129" spans="1:3">
      <c r="A129" s="1907" t="s">
        <v>1573</v>
      </c>
      <c r="B129" s="1910">
        <v>17.82</v>
      </c>
      <c r="C129" s="1908">
        <v>0</v>
      </c>
    </row>
    <row r="130" spans="1:3">
      <c r="A130" s="1907" t="s">
        <v>1570</v>
      </c>
      <c r="B130" s="1910">
        <v>13.87</v>
      </c>
      <c r="C130" s="1908">
        <v>0</v>
      </c>
    </row>
    <row r="131" spans="1:3">
      <c r="A131" s="1907" t="s">
        <v>1574</v>
      </c>
      <c r="B131" s="1910">
        <v>23.61</v>
      </c>
      <c r="C131" s="1908">
        <v>0</v>
      </c>
    </row>
    <row r="132" spans="1:3">
      <c r="A132" s="1907" t="s">
        <v>1571</v>
      </c>
      <c r="B132" s="1910">
        <v>20.170000000000002</v>
      </c>
      <c r="C132" s="1908">
        <v>0</v>
      </c>
    </row>
    <row r="133" spans="1:3">
      <c r="A133" s="1907" t="s">
        <v>373</v>
      </c>
      <c r="B133" s="1910">
        <v>2.87</v>
      </c>
      <c r="C133" s="1908">
        <v>0</v>
      </c>
    </row>
    <row r="134" spans="1:3">
      <c r="A134" s="1907" t="s">
        <v>374</v>
      </c>
      <c r="B134" s="1910">
        <v>3.23</v>
      </c>
      <c r="C134" s="1908">
        <v>0</v>
      </c>
    </row>
    <row r="135" spans="1:3">
      <c r="A135" s="1907" t="s">
        <v>582</v>
      </c>
      <c r="B135" s="1910">
        <v>3.34</v>
      </c>
      <c r="C135" s="1908">
        <v>0</v>
      </c>
    </row>
    <row r="136" spans="1:3">
      <c r="A136" s="1907" t="s">
        <v>583</v>
      </c>
      <c r="B136" s="1910">
        <v>3.51</v>
      </c>
      <c r="C136" s="1908">
        <v>0</v>
      </c>
    </row>
    <row r="137" spans="1:3">
      <c r="A137" s="1907" t="s">
        <v>371</v>
      </c>
      <c r="B137" s="1910">
        <v>3.51</v>
      </c>
      <c r="C137" s="1908">
        <v>0</v>
      </c>
    </row>
    <row r="138" spans="1:3">
      <c r="A138" s="1907" t="s">
        <v>372</v>
      </c>
      <c r="B138" s="1910">
        <v>3.88</v>
      </c>
      <c r="C138" s="1908">
        <v>0</v>
      </c>
    </row>
    <row r="139" spans="1:3">
      <c r="A139" s="1907" t="s">
        <v>1520</v>
      </c>
      <c r="B139" s="1910">
        <v>0.83</v>
      </c>
      <c r="C139" s="1908">
        <v>0</v>
      </c>
    </row>
    <row r="140" spans="1:3">
      <c r="A140" s="1907" t="s">
        <v>1504</v>
      </c>
      <c r="B140" s="1910">
        <v>1.93</v>
      </c>
      <c r="C140" s="1908" t="s">
        <v>1645</v>
      </c>
    </row>
    <row r="141" spans="1:3">
      <c r="A141" s="1907" t="s">
        <v>587</v>
      </c>
      <c r="B141" s="1910">
        <v>0.51</v>
      </c>
      <c r="C141" s="1908" t="s">
        <v>1645</v>
      </c>
    </row>
    <row r="142" spans="1:3">
      <c r="A142" s="1907" t="s">
        <v>276</v>
      </c>
      <c r="B142" s="1910">
        <v>0.28999999999999998</v>
      </c>
      <c r="C142" s="1908">
        <v>0</v>
      </c>
    </row>
    <row r="143" spans="1:3">
      <c r="A143" s="1907" t="s">
        <v>277</v>
      </c>
      <c r="B143" s="1910">
        <v>0.46</v>
      </c>
      <c r="C143" s="1908">
        <v>0</v>
      </c>
    </row>
    <row r="144" spans="1:3">
      <c r="A144" s="1907" t="s">
        <v>1691</v>
      </c>
      <c r="B144" s="1910">
        <v>0.65</v>
      </c>
      <c r="C144" s="1908">
        <v>0</v>
      </c>
    </row>
    <row r="145" spans="1:3">
      <c r="A145" s="1907" t="s">
        <v>1692</v>
      </c>
      <c r="B145" s="1910">
        <v>0.52</v>
      </c>
      <c r="C145" s="1908">
        <v>0</v>
      </c>
    </row>
    <row r="146" spans="1:3">
      <c r="A146" s="1907" t="s">
        <v>1694</v>
      </c>
      <c r="B146" s="1910">
        <v>0.11</v>
      </c>
      <c r="C146" s="1908" t="s">
        <v>1645</v>
      </c>
    </row>
    <row r="147" spans="1:3">
      <c r="A147" s="1907" t="s">
        <v>1693</v>
      </c>
      <c r="B147" s="1910">
        <v>0.25</v>
      </c>
      <c r="C147" s="1908" t="s">
        <v>1645</v>
      </c>
    </row>
    <row r="148" spans="1:3">
      <c r="A148" s="1907" t="s">
        <v>327</v>
      </c>
      <c r="B148" s="1910">
        <v>1.9</v>
      </c>
      <c r="C148" s="1908" t="s">
        <v>1645</v>
      </c>
    </row>
    <row r="149" spans="1:3">
      <c r="A149" s="1907" t="s">
        <v>328</v>
      </c>
      <c r="B149" s="1910">
        <v>2.8</v>
      </c>
      <c r="C149" s="1908" t="s">
        <v>1645</v>
      </c>
    </row>
    <row r="150" spans="1:3">
      <c r="A150" s="1907" t="s">
        <v>569</v>
      </c>
      <c r="B150" s="1910">
        <v>3.44</v>
      </c>
      <c r="C150" s="1908" t="s">
        <v>1645</v>
      </c>
    </row>
    <row r="151" spans="1:3">
      <c r="A151" s="1907" t="s">
        <v>574</v>
      </c>
      <c r="B151" s="1910">
        <v>3.54</v>
      </c>
      <c r="C151" s="1908" t="s">
        <v>1645</v>
      </c>
    </row>
    <row r="152" spans="1:3">
      <c r="A152" s="1907" t="s">
        <v>567</v>
      </c>
      <c r="B152" s="1910">
        <v>3.37</v>
      </c>
      <c r="C152" s="1908">
        <v>0</v>
      </c>
    </row>
    <row r="153" spans="1:3">
      <c r="A153" s="1907" t="s">
        <v>572</v>
      </c>
      <c r="B153" s="1910">
        <v>3.57</v>
      </c>
      <c r="C153" s="1908">
        <v>0</v>
      </c>
    </row>
    <row r="154" spans="1:3">
      <c r="A154" s="1907" t="s">
        <v>568</v>
      </c>
      <c r="B154" s="1910">
        <v>2.38</v>
      </c>
      <c r="C154" s="1908" t="s">
        <v>1645</v>
      </c>
    </row>
    <row r="155" spans="1:3">
      <c r="A155" s="1907" t="s">
        <v>573</v>
      </c>
      <c r="B155" s="1910">
        <v>1.87</v>
      </c>
      <c r="C155" s="1908" t="s">
        <v>1645</v>
      </c>
    </row>
    <row r="156" spans="1:3">
      <c r="A156" s="1907" t="s">
        <v>579</v>
      </c>
      <c r="B156" s="1910">
        <v>3.47</v>
      </c>
      <c r="C156" s="1908" t="s">
        <v>1645</v>
      </c>
    </row>
    <row r="157" spans="1:3">
      <c r="A157" s="1907" t="s">
        <v>733</v>
      </c>
      <c r="B157" s="1910">
        <v>3.56</v>
      </c>
      <c r="C157" s="1908" t="s">
        <v>1645</v>
      </c>
    </row>
    <row r="158" spans="1:3">
      <c r="A158" s="1907" t="s">
        <v>577</v>
      </c>
      <c r="B158" s="1910">
        <v>3.38</v>
      </c>
      <c r="C158" s="1908">
        <v>0</v>
      </c>
    </row>
    <row r="159" spans="1:3">
      <c r="A159" s="1907" t="s">
        <v>581</v>
      </c>
      <c r="B159" s="1910">
        <v>3.71</v>
      </c>
      <c r="C159" s="1908">
        <v>0</v>
      </c>
    </row>
    <row r="160" spans="1:3">
      <c r="A160" s="1907" t="s">
        <v>578</v>
      </c>
      <c r="B160" s="1910">
        <v>2.29</v>
      </c>
      <c r="C160" s="1908" t="s">
        <v>1645</v>
      </c>
    </row>
    <row r="161" spans="1:3">
      <c r="A161" s="1907" t="s">
        <v>732</v>
      </c>
      <c r="B161" s="1910">
        <v>2.44</v>
      </c>
      <c r="C161" s="1908" t="s">
        <v>1645</v>
      </c>
    </row>
    <row r="162" spans="1:3">
      <c r="A162" s="1907" t="s">
        <v>302</v>
      </c>
      <c r="B162" s="1910">
        <v>23.12</v>
      </c>
      <c r="C162" s="1908">
        <v>0</v>
      </c>
    </row>
    <row r="163" spans="1:3">
      <c r="A163" s="1907" t="s">
        <v>310</v>
      </c>
      <c r="B163" s="1910">
        <v>26.33</v>
      </c>
      <c r="C163" s="1908">
        <v>0</v>
      </c>
    </row>
    <row r="164" spans="1:3">
      <c r="A164" s="1907" t="s">
        <v>301</v>
      </c>
      <c r="B164" s="1910">
        <v>15.71</v>
      </c>
      <c r="C164" s="1908">
        <v>0</v>
      </c>
    </row>
    <row r="165" spans="1:3">
      <c r="A165" s="1907" t="s">
        <v>309</v>
      </c>
      <c r="B165" s="1910">
        <v>16.8</v>
      </c>
      <c r="C165" s="1908">
        <v>0</v>
      </c>
    </row>
    <row r="166" spans="1:3">
      <c r="A166" s="1907" t="s">
        <v>300</v>
      </c>
      <c r="B166" s="1910">
        <v>8.14</v>
      </c>
      <c r="C166" s="1908">
        <v>0</v>
      </c>
    </row>
    <row r="167" spans="1:3">
      <c r="A167" s="1907" t="s">
        <v>308</v>
      </c>
      <c r="B167" s="1910">
        <v>8.8800000000000008</v>
      </c>
      <c r="C167" s="1908">
        <v>0</v>
      </c>
    </row>
    <row r="168" spans="1:3">
      <c r="A168" s="1907" t="s">
        <v>298</v>
      </c>
      <c r="B168" s="1910">
        <v>3.23</v>
      </c>
      <c r="C168" s="1908">
        <v>0</v>
      </c>
    </row>
    <row r="169" spans="1:3">
      <c r="A169" s="1907" t="s">
        <v>306</v>
      </c>
      <c r="B169" s="1910">
        <v>3.42</v>
      </c>
      <c r="C169" s="1908">
        <v>0</v>
      </c>
    </row>
    <row r="170" spans="1:3">
      <c r="A170" s="1907" t="s">
        <v>304</v>
      </c>
      <c r="B170" s="1910">
        <v>35.090000000000003</v>
      </c>
      <c r="C170" s="1908">
        <v>0</v>
      </c>
    </row>
    <row r="171" spans="1:3">
      <c r="A171" s="1907" t="s">
        <v>311</v>
      </c>
      <c r="B171" s="1910">
        <v>39.909999999999997</v>
      </c>
      <c r="C171" s="1908">
        <v>0</v>
      </c>
    </row>
    <row r="172" spans="1:3">
      <c r="A172" s="1907" t="s">
        <v>299</v>
      </c>
      <c r="B172" s="1910">
        <v>5.18</v>
      </c>
      <c r="C172" s="1908">
        <v>0</v>
      </c>
    </row>
    <row r="173" spans="1:3">
      <c r="A173" s="1907" t="s">
        <v>307</v>
      </c>
      <c r="B173" s="1910">
        <v>5.54</v>
      </c>
      <c r="C173" s="1908">
        <v>0</v>
      </c>
    </row>
    <row r="174" spans="1:3">
      <c r="A174" s="1907" t="s">
        <v>332</v>
      </c>
      <c r="B174" s="1910">
        <v>4.9800000000000004</v>
      </c>
      <c r="C174" s="1908" t="s">
        <v>1645</v>
      </c>
    </row>
    <row r="175" spans="1:3">
      <c r="A175" s="1907" t="s">
        <v>330</v>
      </c>
      <c r="B175" s="1910">
        <v>4.99</v>
      </c>
      <c r="C175" s="1908">
        <v>0</v>
      </c>
    </row>
    <row r="176" spans="1:3">
      <c r="A176" s="1907" t="s">
        <v>331</v>
      </c>
      <c r="B176" s="1910">
        <v>6.73</v>
      </c>
      <c r="C176" s="1908">
        <v>0</v>
      </c>
    </row>
    <row r="177" spans="1:3">
      <c r="A177" s="1907" t="s">
        <v>329</v>
      </c>
      <c r="B177" s="1910">
        <v>6.63</v>
      </c>
      <c r="C177" s="1908">
        <v>0</v>
      </c>
    </row>
    <row r="178" spans="1:3">
      <c r="A178" s="1907" t="s">
        <v>314</v>
      </c>
      <c r="B178" s="1910">
        <v>8.8800000000000008</v>
      </c>
      <c r="C178" s="1908">
        <v>0</v>
      </c>
    </row>
    <row r="179" spans="1:3">
      <c r="A179" s="1907" t="s">
        <v>317</v>
      </c>
      <c r="B179" s="1910">
        <v>8.0399999999999991</v>
      </c>
      <c r="C179" s="1908">
        <v>0</v>
      </c>
    </row>
    <row r="180" spans="1:3">
      <c r="A180" s="1907" t="s">
        <v>320</v>
      </c>
      <c r="B180" s="1910">
        <v>5.07</v>
      </c>
      <c r="C180" s="1908" t="s">
        <v>1645</v>
      </c>
    </row>
    <row r="181" spans="1:3">
      <c r="A181" s="1907" t="s">
        <v>312</v>
      </c>
      <c r="B181" s="1910">
        <v>3.88</v>
      </c>
      <c r="C181" s="1908">
        <v>0</v>
      </c>
    </row>
    <row r="182" spans="1:3">
      <c r="A182" s="1907" t="s">
        <v>315</v>
      </c>
      <c r="B182" s="1910">
        <v>3.99</v>
      </c>
      <c r="C182" s="1908">
        <v>0</v>
      </c>
    </row>
    <row r="183" spans="1:3">
      <c r="A183" s="1907" t="s">
        <v>318</v>
      </c>
      <c r="B183" s="1910">
        <v>4.26</v>
      </c>
      <c r="C183" s="1908">
        <v>0</v>
      </c>
    </row>
    <row r="184" spans="1:3">
      <c r="A184" s="1907" t="s">
        <v>313</v>
      </c>
      <c r="B184" s="1910">
        <v>5.27</v>
      </c>
      <c r="C184" s="1908">
        <v>0</v>
      </c>
    </row>
    <row r="185" spans="1:3">
      <c r="A185" s="1907" t="s">
        <v>316</v>
      </c>
      <c r="B185" s="1910">
        <v>5.54</v>
      </c>
      <c r="C185" s="1908">
        <v>0</v>
      </c>
    </row>
    <row r="186" spans="1:3">
      <c r="A186" s="1907" t="s">
        <v>319</v>
      </c>
      <c r="B186" s="1910">
        <v>2.64</v>
      </c>
      <c r="C186" s="1908" t="s">
        <v>1645</v>
      </c>
    </row>
    <row r="187" spans="1:3">
      <c r="A187" s="1907" t="s">
        <v>1558</v>
      </c>
      <c r="B187" s="1910">
        <v>22.71</v>
      </c>
      <c r="C187" s="1908">
        <v>0</v>
      </c>
    </row>
    <row r="188" spans="1:3">
      <c r="A188" s="1907" t="s">
        <v>323</v>
      </c>
      <c r="B188" s="1910">
        <v>11.1</v>
      </c>
      <c r="C188" s="1908">
        <v>0</v>
      </c>
    </row>
    <row r="189" spans="1:3">
      <c r="A189" s="1907" t="s">
        <v>321</v>
      </c>
      <c r="B189" s="1910">
        <v>5.09</v>
      </c>
      <c r="C189" s="1908">
        <v>0</v>
      </c>
    </row>
    <row r="190" spans="1:3">
      <c r="A190" s="1907" t="s">
        <v>322</v>
      </c>
      <c r="B190" s="1910">
        <v>7.86</v>
      </c>
      <c r="C190" s="1908">
        <v>0</v>
      </c>
    </row>
    <row r="191" spans="1:3">
      <c r="A191" s="1907" t="s">
        <v>326</v>
      </c>
      <c r="B191" s="1910">
        <v>12.48</v>
      </c>
      <c r="C191" s="1908">
        <v>0</v>
      </c>
    </row>
    <row r="192" spans="1:3">
      <c r="A192" s="1907" t="s">
        <v>324</v>
      </c>
      <c r="B192" s="1910">
        <v>6.4</v>
      </c>
      <c r="C192" s="1908">
        <v>0</v>
      </c>
    </row>
    <row r="193" spans="1:3">
      <c r="A193" s="1907" t="s">
        <v>325</v>
      </c>
      <c r="B193" s="1910">
        <v>8.32</v>
      </c>
      <c r="C193" s="1908">
        <v>0</v>
      </c>
    </row>
    <row r="194" spans="1:3">
      <c r="A194" s="1907" t="s">
        <v>336</v>
      </c>
      <c r="B194" s="1910">
        <v>1.42</v>
      </c>
      <c r="C194" s="1908" t="s">
        <v>1645</v>
      </c>
    </row>
    <row r="195" spans="1:3">
      <c r="A195" s="1907" t="s">
        <v>335</v>
      </c>
      <c r="B195" s="1910">
        <v>3.12</v>
      </c>
      <c r="C195" s="1908">
        <v>0</v>
      </c>
    </row>
    <row r="196" spans="1:3">
      <c r="A196" s="1907" t="s">
        <v>333</v>
      </c>
      <c r="B196" s="1910">
        <v>4.25</v>
      </c>
      <c r="C196" s="1908">
        <v>0</v>
      </c>
    </row>
    <row r="197" spans="1:3">
      <c r="A197" s="1907" t="s">
        <v>334</v>
      </c>
      <c r="B197" s="1910">
        <v>3.15</v>
      </c>
      <c r="C197" s="1908" t="s">
        <v>1645</v>
      </c>
    </row>
    <row r="198" spans="1:3">
      <c r="A198" s="1907" t="s">
        <v>1713</v>
      </c>
      <c r="B198" s="1910">
        <v>4.09</v>
      </c>
      <c r="C198" s="1908" t="s">
        <v>1645</v>
      </c>
    </row>
    <row r="199" spans="1:3">
      <c r="A199" s="1907" t="s">
        <v>1715</v>
      </c>
      <c r="B199" s="1910">
        <v>2</v>
      </c>
      <c r="C199" s="1908" t="s">
        <v>1645</v>
      </c>
    </row>
    <row r="200" spans="1:3">
      <c r="A200" s="1907" t="s">
        <v>1714</v>
      </c>
      <c r="B200" s="1910">
        <v>2.81</v>
      </c>
      <c r="C200" s="1908" t="s">
        <v>1645</v>
      </c>
    </row>
    <row r="201" spans="1:3">
      <c r="A201" s="1907" t="s">
        <v>1712</v>
      </c>
      <c r="B201" s="1910">
        <v>7.39</v>
      </c>
      <c r="C201" s="1908">
        <v>0</v>
      </c>
    </row>
    <row r="202" spans="1:3">
      <c r="A202" s="1907" t="s">
        <v>1560</v>
      </c>
      <c r="B202" s="1910">
        <v>3.7</v>
      </c>
      <c r="C202" s="1908">
        <v>0</v>
      </c>
    </row>
    <row r="203" spans="1:3">
      <c r="A203" s="1907" t="s">
        <v>285</v>
      </c>
      <c r="B203" s="1910">
        <v>2.8</v>
      </c>
      <c r="C203" s="1908">
        <v>0</v>
      </c>
    </row>
    <row r="204" spans="1:3">
      <c r="A204" s="1907" t="s">
        <v>1657</v>
      </c>
      <c r="B204" s="1910">
        <v>13.58</v>
      </c>
      <c r="C204" s="1908" t="s">
        <v>1645</v>
      </c>
    </row>
    <row r="205" spans="1:3">
      <c r="A205" s="1907" t="s">
        <v>1642</v>
      </c>
      <c r="B205" s="1910">
        <v>8.5399999999999991</v>
      </c>
      <c r="C205" s="1908" t="s">
        <v>1645</v>
      </c>
    </row>
    <row r="206" spans="1:3">
      <c r="A206" s="1907" t="s">
        <v>1559</v>
      </c>
      <c r="B206" s="1910">
        <v>36.049999999999997</v>
      </c>
      <c r="C206" s="1908">
        <v>0</v>
      </c>
    </row>
    <row r="207" spans="1:3">
      <c r="A207" s="1907" t="s">
        <v>857</v>
      </c>
      <c r="B207" s="1910">
        <v>60.64</v>
      </c>
      <c r="C207" s="1908">
        <v>0</v>
      </c>
    </row>
    <row r="208" spans="1:3">
      <c r="A208" s="1907" t="s">
        <v>337</v>
      </c>
      <c r="B208" s="1910">
        <v>3.73</v>
      </c>
      <c r="C208" s="1908">
        <v>0</v>
      </c>
    </row>
    <row r="209" spans="1:3">
      <c r="A209" s="1907" t="s">
        <v>339</v>
      </c>
      <c r="B209" s="1910">
        <v>3.99</v>
      </c>
      <c r="C209" s="1908">
        <v>0</v>
      </c>
    </row>
    <row r="210" spans="1:3">
      <c r="A210" s="1907" t="s">
        <v>1658</v>
      </c>
      <c r="B210" s="1910">
        <v>13.92</v>
      </c>
      <c r="C210" s="1908" t="s">
        <v>1645</v>
      </c>
    </row>
    <row r="211" spans="1:3">
      <c r="A211" s="1907" t="s">
        <v>660</v>
      </c>
      <c r="B211" s="1910">
        <v>12.71</v>
      </c>
      <c r="C211" s="1908" t="s">
        <v>1645</v>
      </c>
    </row>
    <row r="212" spans="1:3">
      <c r="A212" s="1907" t="s">
        <v>860</v>
      </c>
      <c r="B212" s="1910">
        <v>7.38</v>
      </c>
      <c r="C212" s="1908" t="s">
        <v>1645</v>
      </c>
    </row>
    <row r="213" spans="1:3">
      <c r="A213" s="1907" t="s">
        <v>858</v>
      </c>
      <c r="B213" s="1910">
        <v>5.72</v>
      </c>
      <c r="C213" s="1908" t="s">
        <v>1645</v>
      </c>
    </row>
    <row r="214" spans="1:3">
      <c r="A214" s="1907" t="s">
        <v>1687</v>
      </c>
      <c r="B214" s="1910">
        <v>2.46</v>
      </c>
      <c r="C214" s="1908">
        <v>0</v>
      </c>
    </row>
    <row r="215" spans="1:3">
      <c r="A215" s="1907" t="s">
        <v>1686</v>
      </c>
      <c r="B215" s="1910">
        <v>4.5199999999999996</v>
      </c>
      <c r="C215" s="1908">
        <v>0</v>
      </c>
    </row>
    <row r="216" spans="1:3">
      <c r="A216" s="1907" t="s">
        <v>437</v>
      </c>
      <c r="B216" s="1910">
        <v>2.4</v>
      </c>
      <c r="C216" s="1908" t="s">
        <v>1645</v>
      </c>
    </row>
    <row r="217" spans="1:3">
      <c r="A217" s="1907" t="s">
        <v>596</v>
      </c>
      <c r="B217" s="1910">
        <v>2.88</v>
      </c>
      <c r="C217" s="1908" t="s">
        <v>1645</v>
      </c>
    </row>
    <row r="218" spans="1:3">
      <c r="A218" s="1907" t="s">
        <v>938</v>
      </c>
      <c r="B218" s="1910">
        <v>1.77</v>
      </c>
      <c r="C218" s="1908" t="s">
        <v>1645</v>
      </c>
    </row>
    <row r="219" spans="1:3">
      <c r="A219" s="1907" t="s">
        <v>1651</v>
      </c>
      <c r="B219" s="1910">
        <v>1.83</v>
      </c>
      <c r="C219" s="1908" t="s">
        <v>1645</v>
      </c>
    </row>
    <row r="220" spans="1:3">
      <c r="A220" s="1907" t="s">
        <v>1652</v>
      </c>
      <c r="B220" s="1910">
        <v>5.19</v>
      </c>
      <c r="C220" s="1908">
        <v>0</v>
      </c>
    </row>
    <row r="221" spans="1:3">
      <c r="A221" s="1907" t="s">
        <v>943</v>
      </c>
      <c r="B221" s="1910">
        <v>2.0299999999999998</v>
      </c>
      <c r="C221" s="1908" t="s">
        <v>1645</v>
      </c>
    </row>
    <row r="222" spans="1:3">
      <c r="A222" s="1907" t="s">
        <v>1650</v>
      </c>
      <c r="B222" s="1910">
        <v>2.0299999999999998</v>
      </c>
      <c r="C222" s="1908" t="s">
        <v>1645</v>
      </c>
    </row>
    <row r="223" spans="1:3">
      <c r="A223" s="1907" t="s">
        <v>1620</v>
      </c>
      <c r="B223" s="1910">
        <v>0.41</v>
      </c>
      <c r="C223" s="1908" t="s">
        <v>1645</v>
      </c>
    </row>
    <row r="224" spans="1:3">
      <c r="A224" s="1907" t="s">
        <v>1621</v>
      </c>
      <c r="B224" s="1910">
        <v>0.51</v>
      </c>
      <c r="C224" s="1908" t="s">
        <v>1645</v>
      </c>
    </row>
    <row r="225" spans="1:3">
      <c r="A225" s="1907" t="s">
        <v>181</v>
      </c>
      <c r="B225" s="1910">
        <v>0.43</v>
      </c>
      <c r="C225" s="1908" t="s">
        <v>1645</v>
      </c>
    </row>
    <row r="226" spans="1:3">
      <c r="A226" s="1907" t="s">
        <v>1728</v>
      </c>
      <c r="B226" s="1910">
        <v>42.71</v>
      </c>
      <c r="C226" s="1908">
        <v>0</v>
      </c>
    </row>
    <row r="227" spans="1:3">
      <c r="A227" s="1907" t="s">
        <v>1729</v>
      </c>
      <c r="B227" s="1910">
        <v>2.75</v>
      </c>
      <c r="C227" s="1908" t="s">
        <v>1645</v>
      </c>
    </row>
    <row r="228" spans="1:3">
      <c r="A228" s="1907" t="s">
        <v>1730</v>
      </c>
      <c r="B228" s="1910">
        <v>25.63</v>
      </c>
      <c r="C228" s="1908">
        <v>0</v>
      </c>
    </row>
    <row r="229" spans="1:3">
      <c r="A229" s="1907" t="s">
        <v>1731</v>
      </c>
      <c r="B229" s="1910">
        <v>34.17</v>
      </c>
      <c r="C229" s="1908">
        <v>0</v>
      </c>
    </row>
    <row r="230" spans="1:3">
      <c r="A230" s="1907" t="s">
        <v>183</v>
      </c>
      <c r="B230" s="1910">
        <v>0.54</v>
      </c>
      <c r="C230" s="1908" t="s">
        <v>1645</v>
      </c>
    </row>
    <row r="231" spans="1:3">
      <c r="A231" s="1907" t="s">
        <v>185</v>
      </c>
      <c r="B231" s="1910">
        <v>1.42</v>
      </c>
      <c r="C231" s="1908" t="s">
        <v>1645</v>
      </c>
    </row>
    <row r="232" spans="1:3">
      <c r="A232" s="1907" t="s">
        <v>1732</v>
      </c>
      <c r="B232" s="1910">
        <v>9.36</v>
      </c>
      <c r="C232" s="1908" t="s">
        <v>1645</v>
      </c>
    </row>
    <row r="233" spans="1:3">
      <c r="A233" s="1907" t="s">
        <v>187</v>
      </c>
      <c r="B233" s="1910">
        <v>4.3</v>
      </c>
      <c r="C233" s="1908">
        <v>0</v>
      </c>
    </row>
    <row r="234" spans="1:3">
      <c r="A234" s="1907" t="s">
        <v>1733</v>
      </c>
      <c r="B234" s="1910">
        <v>13.93</v>
      </c>
      <c r="C234" s="1908" t="s">
        <v>1645</v>
      </c>
    </row>
    <row r="235" spans="1:3">
      <c r="A235" s="1907" t="s">
        <v>1706</v>
      </c>
      <c r="B235" s="1910">
        <v>2.31</v>
      </c>
      <c r="C235" s="1908" t="s">
        <v>1645</v>
      </c>
    </row>
    <row r="236" spans="1:3">
      <c r="A236" s="1907" t="s">
        <v>208</v>
      </c>
      <c r="B236" s="1910">
        <v>1.75</v>
      </c>
      <c r="C236" s="1908" t="s">
        <v>1645</v>
      </c>
    </row>
    <row r="237" spans="1:3">
      <c r="A237" s="1907" t="s">
        <v>207</v>
      </c>
      <c r="B237" s="1910">
        <v>2.8</v>
      </c>
      <c r="C237" s="1908">
        <v>0</v>
      </c>
    </row>
    <row r="238" spans="1:3">
      <c r="A238" s="1907" t="s">
        <v>205</v>
      </c>
      <c r="B238" s="1910">
        <v>1.03</v>
      </c>
      <c r="C238" s="1908">
        <v>0</v>
      </c>
    </row>
    <row r="239" spans="1:3">
      <c r="A239" s="1907" t="s">
        <v>1705</v>
      </c>
      <c r="B239" s="1910">
        <v>4.25</v>
      </c>
      <c r="C239" s="1908" t="s">
        <v>1645</v>
      </c>
    </row>
    <row r="240" spans="1:3">
      <c r="A240" s="1907" t="s">
        <v>206</v>
      </c>
      <c r="B240" s="1910">
        <v>1.83</v>
      </c>
      <c r="C240" s="1908">
        <v>0</v>
      </c>
    </row>
    <row r="241" spans="1:3">
      <c r="A241" s="1907" t="s">
        <v>861</v>
      </c>
      <c r="B241" s="1910">
        <v>5.95</v>
      </c>
      <c r="C241" s="1908">
        <v>0</v>
      </c>
    </row>
    <row r="242" spans="1:3">
      <c r="A242" s="1907" t="s">
        <v>218</v>
      </c>
      <c r="B242" s="1910">
        <v>3.7</v>
      </c>
      <c r="C242" s="1908">
        <v>0</v>
      </c>
    </row>
    <row r="243" spans="1:3">
      <c r="A243" s="1907" t="s">
        <v>1711</v>
      </c>
      <c r="B243" s="1910">
        <v>1.47</v>
      </c>
      <c r="C243" s="1908" t="s">
        <v>1645</v>
      </c>
    </row>
    <row r="244" spans="1:3">
      <c r="A244" s="1907" t="s">
        <v>216</v>
      </c>
      <c r="B244" s="1910">
        <v>1.95</v>
      </c>
      <c r="C244" s="1908" t="s">
        <v>1645</v>
      </c>
    </row>
    <row r="245" spans="1:3">
      <c r="A245" s="1907" t="s">
        <v>212</v>
      </c>
      <c r="B245" s="1910">
        <v>2.04</v>
      </c>
      <c r="C245" s="1908">
        <v>0</v>
      </c>
    </row>
    <row r="246" spans="1:3">
      <c r="A246" s="1907" t="s">
        <v>214</v>
      </c>
      <c r="B246" s="1910">
        <v>2.5499999999999998</v>
      </c>
      <c r="C246" s="1908">
        <v>0</v>
      </c>
    </row>
    <row r="247" spans="1:3">
      <c r="A247" s="1907" t="s">
        <v>867</v>
      </c>
      <c r="B247" s="1910">
        <v>6.06</v>
      </c>
      <c r="C247" s="1908">
        <v>0</v>
      </c>
    </row>
    <row r="248" spans="1:3">
      <c r="A248" s="1907" t="s">
        <v>865</v>
      </c>
      <c r="B248" s="1910">
        <v>6.9</v>
      </c>
      <c r="C248" s="1908">
        <v>0</v>
      </c>
    </row>
    <row r="249" spans="1:3">
      <c r="A249" s="1907" t="s">
        <v>863</v>
      </c>
      <c r="B249" s="1910">
        <v>8.59</v>
      </c>
      <c r="C249" s="1908">
        <v>0</v>
      </c>
    </row>
    <row r="250" spans="1:3">
      <c r="A250" s="1907" t="s">
        <v>210</v>
      </c>
      <c r="B250" s="1910">
        <v>1.38</v>
      </c>
      <c r="C250" s="1908">
        <v>0</v>
      </c>
    </row>
    <row r="251" spans="1:3">
      <c r="A251" s="1907" t="s">
        <v>236</v>
      </c>
      <c r="B251" s="1910">
        <v>3.05</v>
      </c>
      <c r="C251" s="1908" t="s">
        <v>1645</v>
      </c>
    </row>
    <row r="252" spans="1:3">
      <c r="A252" s="1907" t="s">
        <v>234</v>
      </c>
      <c r="B252" s="1910">
        <v>1.42</v>
      </c>
      <c r="C252" s="1908" t="s">
        <v>1645</v>
      </c>
    </row>
    <row r="253" spans="1:3">
      <c r="A253" s="1907" t="s">
        <v>235</v>
      </c>
      <c r="B253" s="1910">
        <v>2.44</v>
      </c>
      <c r="C253" s="1908" t="s">
        <v>1645</v>
      </c>
    </row>
    <row r="254" spans="1:3">
      <c r="A254" s="1907" t="s">
        <v>1626</v>
      </c>
      <c r="B254" s="1910">
        <v>4.1900000000000004</v>
      </c>
      <c r="C254" s="1908">
        <v>0</v>
      </c>
    </row>
    <row r="255" spans="1:3">
      <c r="A255" s="1907" t="s">
        <v>1528</v>
      </c>
      <c r="B255" s="1910">
        <v>4.46</v>
      </c>
      <c r="C255" s="1908">
        <v>0</v>
      </c>
    </row>
    <row r="256" spans="1:3">
      <c r="A256" s="1907" t="s">
        <v>1529</v>
      </c>
      <c r="B256" s="1910">
        <v>3.46</v>
      </c>
      <c r="C256" s="1908">
        <v>0</v>
      </c>
    </row>
    <row r="257" spans="1:3">
      <c r="A257" s="1907" t="s">
        <v>1527</v>
      </c>
      <c r="B257" s="1910">
        <v>1.29</v>
      </c>
      <c r="C257" s="1908" t="s">
        <v>1645</v>
      </c>
    </row>
    <row r="258" spans="1:3">
      <c r="A258" s="1907" t="s">
        <v>1627</v>
      </c>
      <c r="B258" s="1910">
        <v>3.15</v>
      </c>
      <c r="C258" s="1908">
        <v>0</v>
      </c>
    </row>
    <row r="259" spans="1:3">
      <c r="A259" s="1907" t="s">
        <v>871</v>
      </c>
      <c r="B259" s="1910">
        <v>0.64</v>
      </c>
      <c r="C259" s="1908">
        <v>0</v>
      </c>
    </row>
    <row r="260" spans="1:3">
      <c r="A260" s="1907" t="s">
        <v>705</v>
      </c>
      <c r="B260" s="1910">
        <v>0.61</v>
      </c>
      <c r="C260" s="1908">
        <v>0</v>
      </c>
    </row>
    <row r="261" spans="1:3">
      <c r="A261" s="1907" t="s">
        <v>1533</v>
      </c>
      <c r="B261" s="1910">
        <v>6.34</v>
      </c>
      <c r="C261" s="1908">
        <v>0</v>
      </c>
    </row>
    <row r="262" spans="1:3">
      <c r="A262" s="1907" t="s">
        <v>870</v>
      </c>
      <c r="B262" s="1910">
        <v>0.17</v>
      </c>
      <c r="C262" s="1908" t="s">
        <v>1645</v>
      </c>
    </row>
    <row r="263" spans="1:3">
      <c r="A263" s="1907" t="s">
        <v>1708</v>
      </c>
      <c r="B263" s="1910">
        <v>3.88</v>
      </c>
      <c r="C263" s="1908">
        <v>0</v>
      </c>
    </row>
    <row r="264" spans="1:3">
      <c r="A264" s="1907" t="s">
        <v>244</v>
      </c>
      <c r="B264" s="1910">
        <v>4.18</v>
      </c>
      <c r="C264" s="1908">
        <v>0</v>
      </c>
    </row>
    <row r="265" spans="1:3">
      <c r="A265" s="1907" t="s">
        <v>243</v>
      </c>
      <c r="B265" s="1910">
        <v>1.77</v>
      </c>
      <c r="C265" s="1908">
        <v>0</v>
      </c>
    </row>
    <row r="266" spans="1:3">
      <c r="A266" s="1907" t="s">
        <v>241</v>
      </c>
      <c r="B266" s="1910">
        <v>0.65</v>
      </c>
      <c r="C266" s="1908">
        <v>0</v>
      </c>
    </row>
    <row r="267" spans="1:3">
      <c r="A267" s="1907" t="s">
        <v>1707</v>
      </c>
      <c r="B267" s="1910">
        <v>6.39</v>
      </c>
      <c r="C267" s="1908">
        <v>0</v>
      </c>
    </row>
    <row r="268" spans="1:3">
      <c r="A268" s="1907" t="s">
        <v>242</v>
      </c>
      <c r="B268" s="1910">
        <v>1.27</v>
      </c>
      <c r="C268" s="1908">
        <v>0</v>
      </c>
    </row>
    <row r="269" spans="1:3">
      <c r="A269" s="1907" t="s">
        <v>945</v>
      </c>
      <c r="B269" s="1910">
        <v>0.64</v>
      </c>
      <c r="C269" s="1908" t="s">
        <v>1645</v>
      </c>
    </row>
    <row r="270" spans="1:3">
      <c r="A270" s="1907" t="s">
        <v>1519</v>
      </c>
      <c r="B270" s="1910">
        <v>2.12</v>
      </c>
      <c r="C270" s="1908" t="s">
        <v>1645</v>
      </c>
    </row>
    <row r="271" spans="1:3">
      <c r="A271" s="1907" t="s">
        <v>1518</v>
      </c>
      <c r="B271" s="1910">
        <v>2.13</v>
      </c>
      <c r="C271" s="1908">
        <v>0</v>
      </c>
    </row>
    <row r="272" spans="1:3">
      <c r="A272" s="1907" t="s">
        <v>1517</v>
      </c>
      <c r="B272" s="1910">
        <v>1.26</v>
      </c>
      <c r="C272" s="1908">
        <v>0</v>
      </c>
    </row>
    <row r="273" spans="1:3">
      <c r="A273" s="1907" t="s">
        <v>592</v>
      </c>
      <c r="B273" s="1910">
        <v>0.28000000000000003</v>
      </c>
      <c r="C273" s="1908">
        <v>0</v>
      </c>
    </row>
    <row r="274" spans="1:3">
      <c r="A274" s="1907" t="s">
        <v>1710</v>
      </c>
      <c r="B274" s="1910">
        <v>3.38</v>
      </c>
      <c r="C274" s="1908">
        <v>0</v>
      </c>
    </row>
    <row r="275" spans="1:3">
      <c r="A275" s="1907" t="s">
        <v>1530</v>
      </c>
      <c r="B275" s="1910">
        <v>2.96</v>
      </c>
      <c r="C275" s="1908">
        <v>0</v>
      </c>
    </row>
    <row r="276" spans="1:3">
      <c r="A276" s="1907" t="s">
        <v>1526</v>
      </c>
      <c r="B276" s="1910">
        <v>3.49</v>
      </c>
      <c r="C276" s="1908">
        <v>0</v>
      </c>
    </row>
    <row r="277" spans="1:3">
      <c r="A277" s="1907" t="s">
        <v>1524</v>
      </c>
      <c r="B277" s="1910">
        <v>1.69</v>
      </c>
      <c r="C277" s="1908">
        <v>0</v>
      </c>
    </row>
    <row r="278" spans="1:3">
      <c r="A278" s="1907" t="s">
        <v>1525</v>
      </c>
      <c r="B278" s="1910">
        <v>1.75</v>
      </c>
      <c r="C278" s="1908">
        <v>0</v>
      </c>
    </row>
    <row r="279" spans="1:3">
      <c r="A279" s="1907" t="s">
        <v>1532</v>
      </c>
      <c r="B279" s="1910">
        <v>7.16</v>
      </c>
      <c r="C279" s="1908">
        <v>0</v>
      </c>
    </row>
    <row r="280" spans="1:3">
      <c r="A280" s="1907" t="s">
        <v>1531</v>
      </c>
      <c r="B280" s="1910">
        <v>3.08</v>
      </c>
      <c r="C280" s="1908" t="s">
        <v>1645</v>
      </c>
    </row>
    <row r="281" spans="1:3">
      <c r="A281" s="1907" t="s">
        <v>1709</v>
      </c>
      <c r="B281" s="1910">
        <v>3.09</v>
      </c>
      <c r="C281" s="1908" t="s">
        <v>1645</v>
      </c>
    </row>
    <row r="282" spans="1:3">
      <c r="A282" s="1907" t="s">
        <v>1523</v>
      </c>
      <c r="B282" s="1910">
        <v>1.1499999999999999</v>
      </c>
      <c r="C282" s="1908">
        <v>0</v>
      </c>
    </row>
    <row r="283" spans="1:3">
      <c r="A283" s="1907" t="s">
        <v>803</v>
      </c>
      <c r="B283" s="1910">
        <v>1.65</v>
      </c>
      <c r="C283" s="1908" t="s">
        <v>1645</v>
      </c>
    </row>
    <row r="284" spans="1:3">
      <c r="A284" s="1907" t="s">
        <v>1623</v>
      </c>
      <c r="B284" s="1910">
        <v>4.4400000000000004</v>
      </c>
      <c r="C284" s="1908">
        <v>0</v>
      </c>
    </row>
    <row r="285" spans="1:3">
      <c r="A285" s="1907" t="s">
        <v>1555</v>
      </c>
      <c r="B285" s="1910">
        <v>3.33</v>
      </c>
      <c r="C285" s="1908">
        <v>0</v>
      </c>
    </row>
    <row r="286" spans="1:3">
      <c r="A286" s="1907" t="s">
        <v>1622</v>
      </c>
      <c r="B286" s="1910">
        <v>3.72</v>
      </c>
      <c r="C286" s="1908">
        <v>0</v>
      </c>
    </row>
    <row r="287" spans="1:3">
      <c r="A287" s="1907" t="s">
        <v>1624</v>
      </c>
      <c r="B287" s="1910">
        <v>1.47</v>
      </c>
      <c r="C287" s="1908">
        <v>0</v>
      </c>
    </row>
    <row r="288" spans="1:3">
      <c r="A288" s="1907" t="s">
        <v>1625</v>
      </c>
      <c r="B288" s="1910">
        <v>2.29</v>
      </c>
      <c r="C288" s="1908">
        <v>0</v>
      </c>
    </row>
    <row r="289" spans="1:3">
      <c r="A289" s="1907" t="s">
        <v>1552</v>
      </c>
      <c r="B289" s="1910">
        <v>0.64</v>
      </c>
      <c r="C289" s="1908">
        <v>0</v>
      </c>
    </row>
    <row r="290" spans="1:3">
      <c r="A290" s="1907" t="s">
        <v>1553</v>
      </c>
      <c r="B290" s="1910">
        <v>0.7</v>
      </c>
      <c r="C290" s="1908">
        <v>0</v>
      </c>
    </row>
    <row r="291" spans="1:3">
      <c r="A291" s="1907" t="s">
        <v>1554</v>
      </c>
      <c r="B291" s="1910">
        <v>0.93</v>
      </c>
      <c r="C291" s="1908">
        <v>0</v>
      </c>
    </row>
    <row r="292" spans="1:3">
      <c r="A292" s="1907" t="s">
        <v>481</v>
      </c>
      <c r="B292" s="1910">
        <v>1.53</v>
      </c>
      <c r="C292" s="1908" t="s">
        <v>1645</v>
      </c>
    </row>
    <row r="293" spans="1:3">
      <c r="A293" s="1907" t="s">
        <v>490</v>
      </c>
      <c r="B293" s="1910">
        <v>2.0299999999999998</v>
      </c>
      <c r="C293" s="1908" t="s">
        <v>1645</v>
      </c>
    </row>
    <row r="294" spans="1:3">
      <c r="A294" s="1907" t="s">
        <v>495</v>
      </c>
      <c r="B294" s="1910">
        <v>1.63</v>
      </c>
      <c r="C294" s="1908" t="s">
        <v>1645</v>
      </c>
    </row>
    <row r="295" spans="1:3">
      <c r="A295" s="1907" t="s">
        <v>485</v>
      </c>
      <c r="B295" s="1910">
        <v>1.73</v>
      </c>
      <c r="C295" s="1908" t="s">
        <v>1645</v>
      </c>
    </row>
    <row r="296" spans="1:3">
      <c r="A296" s="1907" t="s">
        <v>496</v>
      </c>
      <c r="B296" s="1910">
        <v>1.63</v>
      </c>
      <c r="C296" s="1908" t="s">
        <v>1645</v>
      </c>
    </row>
    <row r="297" spans="1:3">
      <c r="A297" s="1907" t="s">
        <v>482</v>
      </c>
      <c r="B297" s="1910">
        <v>1.83</v>
      </c>
      <c r="C297" s="1908" t="s">
        <v>1645</v>
      </c>
    </row>
    <row r="298" spans="1:3">
      <c r="A298" s="1907" t="s">
        <v>491</v>
      </c>
      <c r="B298" s="1910">
        <v>2.41</v>
      </c>
      <c r="C298" s="1908" t="s">
        <v>1645</v>
      </c>
    </row>
    <row r="299" spans="1:3">
      <c r="A299" s="1907" t="s">
        <v>497</v>
      </c>
      <c r="B299" s="1910">
        <v>2.56</v>
      </c>
      <c r="C299" s="1908" t="s">
        <v>1645</v>
      </c>
    </row>
    <row r="300" spans="1:3">
      <c r="A300" s="1907" t="s">
        <v>486</v>
      </c>
      <c r="B300" s="1910">
        <v>2.44</v>
      </c>
      <c r="C300" s="1908" t="s">
        <v>1645</v>
      </c>
    </row>
    <row r="301" spans="1:3">
      <c r="A301" s="1907" t="s">
        <v>499</v>
      </c>
      <c r="B301" s="1910">
        <v>2.34</v>
      </c>
      <c r="C301" s="1908" t="s">
        <v>1645</v>
      </c>
    </row>
    <row r="302" spans="1:3">
      <c r="A302" s="1907" t="s">
        <v>501</v>
      </c>
      <c r="B302" s="1910">
        <v>2.2000000000000002</v>
      </c>
      <c r="C302" s="1908" t="s">
        <v>1645</v>
      </c>
    </row>
    <row r="303" spans="1:3">
      <c r="A303" s="1907" t="s">
        <v>487</v>
      </c>
      <c r="B303" s="1910">
        <v>3.15</v>
      </c>
      <c r="C303" s="1908" t="s">
        <v>1645</v>
      </c>
    </row>
    <row r="304" spans="1:3">
      <c r="A304" s="1907" t="s">
        <v>503</v>
      </c>
      <c r="B304" s="1910">
        <v>2.89</v>
      </c>
      <c r="C304" s="1908" t="s">
        <v>1645</v>
      </c>
    </row>
    <row r="305" spans="1:3">
      <c r="A305" s="1907" t="s">
        <v>483</v>
      </c>
      <c r="B305" s="1910">
        <v>3.25</v>
      </c>
      <c r="C305" s="1908" t="s">
        <v>1645</v>
      </c>
    </row>
    <row r="306" spans="1:3">
      <c r="A306" s="1907" t="s">
        <v>493</v>
      </c>
      <c r="B306" s="1910">
        <v>3.09</v>
      </c>
      <c r="C306" s="1908" t="s">
        <v>1645</v>
      </c>
    </row>
    <row r="307" spans="1:3">
      <c r="A307" s="1907" t="s">
        <v>488</v>
      </c>
      <c r="B307" s="1910">
        <v>2.9</v>
      </c>
      <c r="C307" s="1908" t="s">
        <v>1645</v>
      </c>
    </row>
    <row r="308" spans="1:3">
      <c r="A308" s="1907" t="s">
        <v>505</v>
      </c>
      <c r="B308" s="1910">
        <v>3.5</v>
      </c>
      <c r="C308" s="1908" t="s">
        <v>1645</v>
      </c>
    </row>
    <row r="309" spans="1:3">
      <c r="A309" s="1907" t="s">
        <v>489</v>
      </c>
      <c r="B309" s="1910">
        <v>3.8</v>
      </c>
      <c r="C309" s="1908" t="s">
        <v>1645</v>
      </c>
    </row>
    <row r="310" spans="1:3">
      <c r="A310" s="1907" t="s">
        <v>484</v>
      </c>
      <c r="B310" s="1910">
        <v>3.78</v>
      </c>
      <c r="C310" s="1908" t="s">
        <v>1645</v>
      </c>
    </row>
    <row r="311" spans="1:3">
      <c r="A311" s="1907" t="s">
        <v>507</v>
      </c>
      <c r="B311" s="1910">
        <v>1.68</v>
      </c>
      <c r="C311" s="1908" t="s">
        <v>1645</v>
      </c>
    </row>
    <row r="312" spans="1:3">
      <c r="A312" s="1907" t="s">
        <v>509</v>
      </c>
      <c r="B312" s="1910">
        <v>2.0499999999999998</v>
      </c>
      <c r="C312" s="1908" t="s">
        <v>1645</v>
      </c>
    </row>
    <row r="313" spans="1:3">
      <c r="A313" s="1907" t="s">
        <v>511</v>
      </c>
      <c r="B313" s="1910">
        <v>2.39</v>
      </c>
      <c r="C313" s="1908" t="s">
        <v>1645</v>
      </c>
    </row>
    <row r="314" spans="1:3">
      <c r="A314" s="1907" t="s">
        <v>554</v>
      </c>
      <c r="B314" s="1910">
        <v>3.09</v>
      </c>
      <c r="C314" s="1908" t="s">
        <v>1645</v>
      </c>
    </row>
    <row r="315" spans="1:3">
      <c r="A315" s="1907" t="s">
        <v>552</v>
      </c>
      <c r="B315" s="1910">
        <v>2.2599999999999998</v>
      </c>
      <c r="C315" s="1908" t="s">
        <v>1645</v>
      </c>
    </row>
    <row r="316" spans="1:3">
      <c r="A316" s="1907" t="s">
        <v>513</v>
      </c>
      <c r="B316" s="1910">
        <v>2.5</v>
      </c>
      <c r="C316" s="1908" t="s">
        <v>1645</v>
      </c>
    </row>
    <row r="317" spans="1:3">
      <c r="A317" s="1907" t="s">
        <v>515</v>
      </c>
      <c r="B317" s="1910">
        <v>3.87</v>
      </c>
      <c r="C317" s="1908" t="s">
        <v>1645</v>
      </c>
    </row>
    <row r="318" spans="1:3">
      <c r="A318" s="1907" t="s">
        <v>516</v>
      </c>
      <c r="B318" s="1910">
        <v>1.22</v>
      </c>
      <c r="C318" s="1908" t="s">
        <v>1645</v>
      </c>
    </row>
    <row r="319" spans="1:3">
      <c r="A319" s="1907" t="s">
        <v>517</v>
      </c>
      <c r="B319" s="1910">
        <v>2.14</v>
      </c>
      <c r="C319" s="1908" t="s">
        <v>1645</v>
      </c>
    </row>
    <row r="320" spans="1:3">
      <c r="A320" s="1907" t="s">
        <v>518</v>
      </c>
      <c r="B320" s="1910">
        <v>1.76</v>
      </c>
      <c r="C320" s="1908" t="s">
        <v>1645</v>
      </c>
    </row>
    <row r="321" spans="1:3">
      <c r="A321" s="1907" t="s">
        <v>557</v>
      </c>
      <c r="B321" s="1910">
        <v>2.56</v>
      </c>
      <c r="C321" s="1908" t="s">
        <v>1645</v>
      </c>
    </row>
    <row r="322" spans="1:3">
      <c r="A322" s="1907" t="s">
        <v>556</v>
      </c>
      <c r="B322" s="1910">
        <v>2.2000000000000002</v>
      </c>
      <c r="C322" s="1908" t="s">
        <v>1645</v>
      </c>
    </row>
    <row r="323" spans="1:3">
      <c r="A323" s="1907" t="s">
        <v>519</v>
      </c>
      <c r="B323" s="1910">
        <v>2.31</v>
      </c>
      <c r="C323" s="1908" t="s">
        <v>1645</v>
      </c>
    </row>
    <row r="324" spans="1:3">
      <c r="A324" s="1907" t="s">
        <v>520</v>
      </c>
      <c r="B324" s="1910">
        <v>3.66</v>
      </c>
      <c r="C324" s="1908" t="s">
        <v>1645</v>
      </c>
    </row>
    <row r="325" spans="1:3">
      <c r="A325" s="1907" t="s">
        <v>521</v>
      </c>
      <c r="B325" s="1910">
        <v>1.02</v>
      </c>
      <c r="C325" s="1908" t="s">
        <v>1645</v>
      </c>
    </row>
    <row r="326" spans="1:3">
      <c r="A326" s="1907" t="s">
        <v>522</v>
      </c>
      <c r="B326" s="1910">
        <v>1.42</v>
      </c>
      <c r="C326" s="1908" t="s">
        <v>1645</v>
      </c>
    </row>
    <row r="327" spans="1:3">
      <c r="A327" s="1907" t="s">
        <v>523</v>
      </c>
      <c r="B327" s="1910">
        <v>4.0599999999999996</v>
      </c>
      <c r="C327" s="1908">
        <v>0</v>
      </c>
    </row>
    <row r="328" spans="1:3">
      <c r="A328" s="1907" t="s">
        <v>524</v>
      </c>
      <c r="B328" s="1910">
        <v>3.56</v>
      </c>
      <c r="C328" s="1908" t="s">
        <v>1645</v>
      </c>
    </row>
    <row r="329" spans="1:3">
      <c r="A329" s="1907" t="s">
        <v>525</v>
      </c>
      <c r="B329" s="1910">
        <v>1.22</v>
      </c>
      <c r="C329" s="1908" t="s">
        <v>1645</v>
      </c>
    </row>
    <row r="330" spans="1:3">
      <c r="A330" s="1907" t="s">
        <v>526</v>
      </c>
      <c r="B330" s="1910">
        <v>1.26</v>
      </c>
      <c r="C330" s="1908" t="s">
        <v>1645</v>
      </c>
    </row>
    <row r="331" spans="1:3">
      <c r="A331" s="1907" t="s">
        <v>527</v>
      </c>
      <c r="B331" s="1910">
        <v>1.32</v>
      </c>
      <c r="C331" s="1908" t="s">
        <v>1645</v>
      </c>
    </row>
    <row r="332" spans="1:3">
      <c r="A332" s="1907" t="s">
        <v>528</v>
      </c>
      <c r="B332" s="1910">
        <v>1.39</v>
      </c>
      <c r="C332" s="1908" t="s">
        <v>1645</v>
      </c>
    </row>
    <row r="333" spans="1:3">
      <c r="A333" s="1907" t="s">
        <v>558</v>
      </c>
      <c r="B333" s="1910">
        <v>2.37</v>
      </c>
      <c r="C333" s="1908" t="s">
        <v>1645</v>
      </c>
    </row>
    <row r="334" spans="1:3">
      <c r="A334" s="1907" t="s">
        <v>529</v>
      </c>
      <c r="B334" s="1910">
        <v>2.14</v>
      </c>
      <c r="C334" s="1908" t="s">
        <v>1645</v>
      </c>
    </row>
    <row r="335" spans="1:3">
      <c r="A335" s="1907" t="s">
        <v>530</v>
      </c>
      <c r="B335" s="1910">
        <v>2.76</v>
      </c>
      <c r="C335" s="1908" t="s">
        <v>1645</v>
      </c>
    </row>
    <row r="336" spans="1:3">
      <c r="A336" s="1907" t="s">
        <v>531</v>
      </c>
      <c r="B336" s="1910">
        <v>1.22</v>
      </c>
      <c r="C336" s="1908" t="s">
        <v>1645</v>
      </c>
    </row>
    <row r="337" spans="1:3">
      <c r="A337" s="1907" t="s">
        <v>559</v>
      </c>
      <c r="B337" s="1910">
        <v>1.03</v>
      </c>
      <c r="C337" s="1908" t="s">
        <v>1645</v>
      </c>
    </row>
    <row r="338" spans="1:3">
      <c r="A338" s="1907" t="s">
        <v>532</v>
      </c>
      <c r="B338" s="1910">
        <v>1.53</v>
      </c>
      <c r="C338" s="1908" t="s">
        <v>1645</v>
      </c>
    </row>
    <row r="339" spans="1:3">
      <c r="A339" s="1907" t="s">
        <v>533</v>
      </c>
      <c r="B339" s="1910">
        <v>1.53</v>
      </c>
      <c r="C339" s="1908" t="s">
        <v>1645</v>
      </c>
    </row>
    <row r="340" spans="1:3">
      <c r="A340" s="1907" t="s">
        <v>535</v>
      </c>
      <c r="B340" s="1910">
        <v>1.3</v>
      </c>
      <c r="C340" s="1908" t="s">
        <v>1645</v>
      </c>
    </row>
    <row r="341" spans="1:3">
      <c r="A341" s="1907" t="s">
        <v>534</v>
      </c>
      <c r="B341" s="1910">
        <v>2.29</v>
      </c>
      <c r="C341" s="1908" t="s">
        <v>1645</v>
      </c>
    </row>
    <row r="342" spans="1:3">
      <c r="A342" s="1907" t="s">
        <v>536</v>
      </c>
      <c r="B342" s="1910">
        <v>2.2599999999999998</v>
      </c>
      <c r="C342" s="1908" t="s">
        <v>1645</v>
      </c>
    </row>
    <row r="343" spans="1:3">
      <c r="A343" s="1907" t="s">
        <v>1698</v>
      </c>
      <c r="B343" s="1910">
        <v>3.37</v>
      </c>
      <c r="C343" s="1908">
        <v>0</v>
      </c>
    </row>
    <row r="344" spans="1:3">
      <c r="A344" s="1907" t="s">
        <v>1699</v>
      </c>
      <c r="B344" s="1910">
        <v>3.05</v>
      </c>
      <c r="C344" s="1908">
        <v>0</v>
      </c>
    </row>
    <row r="345" spans="1:3">
      <c r="A345" s="1907" t="s">
        <v>267</v>
      </c>
      <c r="B345" s="1910">
        <v>1.66</v>
      </c>
      <c r="C345" s="1908">
        <v>0</v>
      </c>
    </row>
    <row r="346" spans="1:3">
      <c r="A346" s="1907" t="s">
        <v>265</v>
      </c>
      <c r="B346" s="1910">
        <v>0.37</v>
      </c>
      <c r="C346" s="1908">
        <v>0</v>
      </c>
    </row>
    <row r="347" spans="1:3">
      <c r="A347" s="1907" t="s">
        <v>1697</v>
      </c>
      <c r="B347" s="1910">
        <v>6.29</v>
      </c>
      <c r="C347" s="1908">
        <v>0</v>
      </c>
    </row>
    <row r="348" spans="1:3">
      <c r="A348" s="1907" t="s">
        <v>266</v>
      </c>
      <c r="B348" s="1910">
        <v>0.92</v>
      </c>
      <c r="C348" s="1908">
        <v>0</v>
      </c>
    </row>
    <row r="349" spans="1:3">
      <c r="A349" s="1907" t="s">
        <v>1516</v>
      </c>
      <c r="B349" s="1910">
        <v>0.91</v>
      </c>
      <c r="C349" s="1908" t="s">
        <v>1645</v>
      </c>
    </row>
    <row r="350" spans="1:3">
      <c r="A350" s="1907" t="s">
        <v>1515</v>
      </c>
      <c r="B350" s="1910">
        <v>1.42</v>
      </c>
      <c r="C350" s="1908">
        <v>0</v>
      </c>
    </row>
    <row r="351" spans="1:3">
      <c r="A351" s="1907" t="s">
        <v>1514</v>
      </c>
      <c r="B351" s="1910">
        <v>0.98</v>
      </c>
      <c r="C351" s="1908">
        <v>0</v>
      </c>
    </row>
    <row r="352" spans="1:3">
      <c r="A352" s="1907" t="s">
        <v>594</v>
      </c>
      <c r="B352" s="1910">
        <v>0.12</v>
      </c>
      <c r="C352" s="1908">
        <v>0</v>
      </c>
    </row>
    <row r="353" spans="1:3">
      <c r="A353" s="1907" t="s">
        <v>1513</v>
      </c>
      <c r="B353" s="1910">
        <v>6.2</v>
      </c>
      <c r="C353" s="1908">
        <v>0</v>
      </c>
    </row>
    <row r="354" spans="1:3">
      <c r="A354" s="1907" t="s">
        <v>850</v>
      </c>
      <c r="B354" s="1910">
        <v>14.3</v>
      </c>
      <c r="C354" s="1908" t="s">
        <v>1645</v>
      </c>
    </row>
    <row r="355" spans="1:3">
      <c r="A355" s="1907" t="s">
        <v>848</v>
      </c>
      <c r="B355" s="1910">
        <v>7.69</v>
      </c>
      <c r="C355" s="1908" t="s">
        <v>1645</v>
      </c>
    </row>
    <row r="356" spans="1:3">
      <c r="A356" s="1907" t="s">
        <v>849</v>
      </c>
      <c r="B356" s="1910">
        <v>9.19</v>
      </c>
      <c r="C356" s="1908" t="s">
        <v>1645</v>
      </c>
    </row>
    <row r="357" spans="1:3">
      <c r="A357" s="1907" t="s">
        <v>369</v>
      </c>
      <c r="B357" s="1910">
        <v>11.56</v>
      </c>
      <c r="C357" s="1908">
        <v>0</v>
      </c>
    </row>
    <row r="358" spans="1:3">
      <c r="A358" s="1907" t="s">
        <v>370</v>
      </c>
      <c r="B358" s="1910">
        <v>12.12</v>
      </c>
      <c r="C358" s="1908">
        <v>0</v>
      </c>
    </row>
    <row r="359" spans="1:3">
      <c r="A359" s="1907" t="s">
        <v>1672</v>
      </c>
      <c r="B359" s="1910">
        <v>1.17</v>
      </c>
      <c r="C359" s="1908" t="s">
        <v>1645</v>
      </c>
    </row>
    <row r="360" spans="1:3">
      <c r="A360" s="1907" t="s">
        <v>1671</v>
      </c>
      <c r="B360" s="1910">
        <v>1.54</v>
      </c>
      <c r="C360" s="1908" t="s">
        <v>1645</v>
      </c>
    </row>
    <row r="361" spans="1:3">
      <c r="A361" s="1907" t="s">
        <v>1670</v>
      </c>
      <c r="B361" s="1910">
        <v>2.39</v>
      </c>
      <c r="C361" s="1908" t="s">
        <v>1645</v>
      </c>
    </row>
    <row r="362" spans="1:3">
      <c r="A362" s="1907" t="s">
        <v>1669</v>
      </c>
      <c r="B362" s="1910">
        <v>3.76</v>
      </c>
      <c r="C362" s="1908" t="s">
        <v>1645</v>
      </c>
    </row>
    <row r="363" spans="1:3">
      <c r="A363" s="1907" t="s">
        <v>1673</v>
      </c>
      <c r="B363" s="1910">
        <v>1.02</v>
      </c>
      <c r="C363" s="1908" t="s">
        <v>1645</v>
      </c>
    </row>
    <row r="364" spans="1:3">
      <c r="A364" s="1907" t="s">
        <v>1679</v>
      </c>
      <c r="B364" s="1910">
        <v>6.61</v>
      </c>
      <c r="C364" s="1908" t="s">
        <v>1645</v>
      </c>
    </row>
    <row r="365" spans="1:3">
      <c r="A365" s="1907" t="s">
        <v>1385</v>
      </c>
      <c r="B365" s="1910">
        <v>12.23</v>
      </c>
      <c r="C365" s="1908" t="s">
        <v>1645</v>
      </c>
    </row>
    <row r="366" spans="1:3">
      <c r="A366" s="1907" t="s">
        <v>1680</v>
      </c>
      <c r="B366" s="1910">
        <v>31.39</v>
      </c>
      <c r="C366" s="1908">
        <v>0</v>
      </c>
    </row>
    <row r="367" spans="1:3">
      <c r="A367" s="1907" t="s">
        <v>1678</v>
      </c>
      <c r="B367" s="1910">
        <v>12.43</v>
      </c>
      <c r="C367" s="1908" t="s">
        <v>1645</v>
      </c>
    </row>
    <row r="368" spans="1:3">
      <c r="A368" s="1907" t="s">
        <v>1503</v>
      </c>
      <c r="B368" s="1910">
        <v>8.6199999999999992</v>
      </c>
      <c r="C368" s="1908">
        <v>0</v>
      </c>
    </row>
    <row r="369" spans="1:3">
      <c r="A369" s="1907" t="s">
        <v>396</v>
      </c>
      <c r="B369" s="1910">
        <v>1.02</v>
      </c>
      <c r="C369" s="1908" t="s">
        <v>1645</v>
      </c>
    </row>
    <row r="370" spans="1:3">
      <c r="A370" s="1907" t="s">
        <v>400</v>
      </c>
      <c r="B370" s="1910">
        <v>1.1000000000000001</v>
      </c>
      <c r="C370" s="1908" t="s">
        <v>1645</v>
      </c>
    </row>
    <row r="371" spans="1:3">
      <c r="A371" s="1907" t="s">
        <v>397</v>
      </c>
      <c r="B371" s="1910">
        <v>1.93</v>
      </c>
      <c r="C371" s="1908" t="s">
        <v>1645</v>
      </c>
    </row>
    <row r="372" spans="1:3">
      <c r="A372" s="1907" t="s">
        <v>1561</v>
      </c>
      <c r="B372" s="1910">
        <v>2.6</v>
      </c>
      <c r="C372" s="1908" t="s">
        <v>1645</v>
      </c>
    </row>
    <row r="373" spans="1:3">
      <c r="A373" s="1907" t="s">
        <v>404</v>
      </c>
      <c r="B373" s="1910">
        <v>2.96</v>
      </c>
      <c r="C373" s="1908" t="s">
        <v>1645</v>
      </c>
    </row>
    <row r="374" spans="1:3">
      <c r="A374" s="1907" t="s">
        <v>398</v>
      </c>
      <c r="B374" s="1910">
        <v>3.36</v>
      </c>
      <c r="C374" s="1908" t="s">
        <v>1645</v>
      </c>
    </row>
    <row r="375" spans="1:3">
      <c r="A375" s="1907" t="s">
        <v>399</v>
      </c>
      <c r="B375" s="1910">
        <v>3.72</v>
      </c>
      <c r="C375" s="1908" t="s">
        <v>1645</v>
      </c>
    </row>
    <row r="376" spans="1:3">
      <c r="A376" s="1907" t="s">
        <v>1510</v>
      </c>
      <c r="B376" s="1910">
        <v>2.44</v>
      </c>
      <c r="C376" s="1908">
        <v>0</v>
      </c>
    </row>
    <row r="377" spans="1:3">
      <c r="A377" s="1907" t="s">
        <v>1511</v>
      </c>
      <c r="B377" s="1910">
        <v>1.86</v>
      </c>
      <c r="C377" s="1908">
        <v>0</v>
      </c>
    </row>
    <row r="378" spans="1:3">
      <c r="A378" s="1907" t="s">
        <v>1508</v>
      </c>
      <c r="B378" s="1910">
        <v>2.36</v>
      </c>
      <c r="C378" s="1908">
        <v>0</v>
      </c>
    </row>
    <row r="379" spans="1:3">
      <c r="A379" s="1907" t="s">
        <v>1509</v>
      </c>
      <c r="B379" s="1910">
        <v>2</v>
      </c>
      <c r="C379" s="1908">
        <v>0</v>
      </c>
    </row>
    <row r="380" spans="1:3">
      <c r="A380" s="1907" t="s">
        <v>1564</v>
      </c>
      <c r="B380" s="1910">
        <v>1.7</v>
      </c>
      <c r="C380" s="1908">
        <v>0</v>
      </c>
    </row>
    <row r="381" spans="1:3">
      <c r="A381" s="1907" t="s">
        <v>389</v>
      </c>
      <c r="B381" s="1910">
        <v>0.71</v>
      </c>
      <c r="C381" s="1908" t="s">
        <v>1645</v>
      </c>
    </row>
    <row r="382" spans="1:3">
      <c r="A382" s="1907" t="s">
        <v>390</v>
      </c>
      <c r="B382" s="1910">
        <v>0.92</v>
      </c>
      <c r="C382" s="1908" t="s">
        <v>1645</v>
      </c>
    </row>
    <row r="383" spans="1:3">
      <c r="A383" s="1907" t="s">
        <v>391</v>
      </c>
      <c r="B383" s="1910">
        <v>1.02</v>
      </c>
      <c r="C383" s="1908" t="s">
        <v>1645</v>
      </c>
    </row>
    <row r="384" spans="1:3">
      <c r="A384" s="1907" t="s">
        <v>392</v>
      </c>
      <c r="B384" s="1910">
        <v>1.32</v>
      </c>
      <c r="C384" s="1908" t="s">
        <v>1645</v>
      </c>
    </row>
    <row r="385" spans="1:3">
      <c r="A385" s="1907" t="s">
        <v>394</v>
      </c>
      <c r="B385" s="1910">
        <v>2.2400000000000002</v>
      </c>
      <c r="C385" s="1908" t="s">
        <v>1645</v>
      </c>
    </row>
    <row r="386" spans="1:3">
      <c r="A386" s="1907" t="s">
        <v>393</v>
      </c>
      <c r="B386" s="1910">
        <v>1.73</v>
      </c>
      <c r="C386" s="1908" t="s">
        <v>1645</v>
      </c>
    </row>
    <row r="387" spans="1:3">
      <c r="A387" s="1907" t="s">
        <v>1562</v>
      </c>
      <c r="B387" s="1910">
        <v>3.87</v>
      </c>
      <c r="C387" s="1908" t="s">
        <v>1645</v>
      </c>
    </row>
    <row r="388" spans="1:3">
      <c r="A388" s="1907" t="s">
        <v>375</v>
      </c>
      <c r="B388" s="1910">
        <v>0.71</v>
      </c>
      <c r="C388" s="1908" t="s">
        <v>1645</v>
      </c>
    </row>
    <row r="389" spans="1:3">
      <c r="A389" s="1907" t="s">
        <v>377</v>
      </c>
      <c r="B389" s="1910">
        <v>1.02</v>
      </c>
      <c r="C389" s="1908" t="s">
        <v>1645</v>
      </c>
    </row>
    <row r="390" spans="1:3">
      <c r="A390" s="1907" t="s">
        <v>379</v>
      </c>
      <c r="B390" s="1910">
        <v>0.71</v>
      </c>
      <c r="C390" s="1908" t="s">
        <v>1645</v>
      </c>
    </row>
    <row r="391" spans="1:3">
      <c r="A391" s="1907" t="s">
        <v>381</v>
      </c>
      <c r="B391" s="1910">
        <v>1.1200000000000001</v>
      </c>
      <c r="C391" s="1908" t="s">
        <v>1645</v>
      </c>
    </row>
    <row r="392" spans="1:3">
      <c r="A392" s="1907" t="s">
        <v>385</v>
      </c>
      <c r="B392" s="1910">
        <v>2.14</v>
      </c>
      <c r="C392" s="1908" t="s">
        <v>1645</v>
      </c>
    </row>
    <row r="393" spans="1:3">
      <c r="A393" s="1907" t="s">
        <v>383</v>
      </c>
      <c r="B393" s="1910">
        <v>1.53</v>
      </c>
      <c r="C393" s="1908" t="s">
        <v>1645</v>
      </c>
    </row>
    <row r="394" spans="1:3">
      <c r="A394" s="1907" t="s">
        <v>387</v>
      </c>
      <c r="B394" s="1910">
        <v>2.89</v>
      </c>
      <c r="C394" s="1908" t="s">
        <v>1645</v>
      </c>
    </row>
    <row r="395" spans="1:3">
      <c r="A395" s="1907" t="s">
        <v>472</v>
      </c>
      <c r="B395" s="1910">
        <v>0.71</v>
      </c>
      <c r="C395" s="1908" t="s">
        <v>1645</v>
      </c>
    </row>
    <row r="396" spans="1:3">
      <c r="A396" s="1907" t="s">
        <v>473</v>
      </c>
      <c r="B396" s="1910">
        <v>0.92</v>
      </c>
      <c r="C396" s="1908" t="s">
        <v>1645</v>
      </c>
    </row>
    <row r="397" spans="1:3">
      <c r="A397" s="1907" t="s">
        <v>474</v>
      </c>
      <c r="B397" s="1910">
        <v>1.22</v>
      </c>
      <c r="C397" s="1908" t="s">
        <v>1645</v>
      </c>
    </row>
    <row r="398" spans="1:3">
      <c r="A398" s="1907" t="s">
        <v>475</v>
      </c>
      <c r="B398" s="1910">
        <v>1.76</v>
      </c>
      <c r="C398" s="1908" t="s">
        <v>1645</v>
      </c>
    </row>
    <row r="399" spans="1:3">
      <c r="A399" s="1907" t="s">
        <v>476</v>
      </c>
      <c r="B399" s="1910">
        <v>0.81</v>
      </c>
      <c r="C399" s="1908" t="s">
        <v>1645</v>
      </c>
    </row>
    <row r="400" spans="1:3">
      <c r="A400" s="1907" t="s">
        <v>477</v>
      </c>
      <c r="B400" s="1910">
        <v>0.88</v>
      </c>
      <c r="C400" s="1908" t="s">
        <v>1645</v>
      </c>
    </row>
    <row r="401" spans="1:3">
      <c r="A401" s="1907" t="s">
        <v>478</v>
      </c>
      <c r="B401" s="1910">
        <v>1.22</v>
      </c>
      <c r="C401" s="1908" t="s">
        <v>1645</v>
      </c>
    </row>
    <row r="402" spans="1:3">
      <c r="A402" s="1907" t="s">
        <v>548</v>
      </c>
      <c r="B402" s="1910">
        <v>1.37</v>
      </c>
      <c r="C402" s="1908" t="s">
        <v>1645</v>
      </c>
    </row>
    <row r="403" spans="1:3">
      <c r="A403" s="1907" t="s">
        <v>549</v>
      </c>
      <c r="B403" s="1910">
        <v>1.44</v>
      </c>
      <c r="C403" s="1908" t="s">
        <v>1645</v>
      </c>
    </row>
    <row r="404" spans="1:3">
      <c r="A404" s="1907" t="s">
        <v>479</v>
      </c>
      <c r="B404" s="1910">
        <v>1.87</v>
      </c>
      <c r="C404" s="1908" t="s">
        <v>1645</v>
      </c>
    </row>
    <row r="405" spans="1:3">
      <c r="A405" s="1907" t="s">
        <v>465</v>
      </c>
      <c r="B405" s="1910">
        <v>0.75</v>
      </c>
      <c r="C405" s="1908" t="s">
        <v>1645</v>
      </c>
    </row>
    <row r="406" spans="1:3">
      <c r="A406" s="1907" t="s">
        <v>466</v>
      </c>
      <c r="B406" s="1910">
        <v>1.01</v>
      </c>
      <c r="C406" s="1908" t="s">
        <v>1645</v>
      </c>
    </row>
    <row r="407" spans="1:3">
      <c r="A407" s="1907" t="s">
        <v>467</v>
      </c>
      <c r="B407" s="1910">
        <v>0.71</v>
      </c>
      <c r="C407" s="1908" t="s">
        <v>1645</v>
      </c>
    </row>
    <row r="408" spans="1:3">
      <c r="A408" s="1907" t="s">
        <v>468</v>
      </c>
      <c r="B408" s="1910">
        <v>0.92</v>
      </c>
      <c r="C408" s="1908" t="s">
        <v>1645</v>
      </c>
    </row>
    <row r="409" spans="1:3">
      <c r="A409" s="1907" t="s">
        <v>470</v>
      </c>
      <c r="B409" s="1910">
        <v>1.93</v>
      </c>
      <c r="C409" s="1908" t="s">
        <v>1645</v>
      </c>
    </row>
    <row r="410" spans="1:3">
      <c r="A410" s="1907" t="s">
        <v>469</v>
      </c>
      <c r="B410" s="1910">
        <v>1.32</v>
      </c>
      <c r="C410" s="1908" t="s">
        <v>1645</v>
      </c>
    </row>
    <row r="411" spans="1:3">
      <c r="A411" s="1907" t="s">
        <v>471</v>
      </c>
      <c r="B411" s="1910">
        <v>2.16</v>
      </c>
      <c r="C411" s="1908" t="s">
        <v>1645</v>
      </c>
    </row>
    <row r="412" spans="1:3">
      <c r="A412" s="1907" t="s">
        <v>458</v>
      </c>
      <c r="B412" s="1910">
        <v>1.29</v>
      </c>
      <c r="C412" s="1908">
        <v>0</v>
      </c>
    </row>
    <row r="413" spans="1:3">
      <c r="A413" s="1907" t="s">
        <v>459</v>
      </c>
      <c r="B413" s="1910">
        <v>0.85</v>
      </c>
      <c r="C413" s="1908" t="s">
        <v>1645</v>
      </c>
    </row>
    <row r="414" spans="1:3">
      <c r="A414" s="1907" t="s">
        <v>460</v>
      </c>
      <c r="B414" s="1910">
        <v>0.71</v>
      </c>
      <c r="C414" s="1908" t="s">
        <v>1645</v>
      </c>
    </row>
    <row r="415" spans="1:3">
      <c r="A415" s="1907" t="s">
        <v>461</v>
      </c>
      <c r="B415" s="1910">
        <v>1.1200000000000001</v>
      </c>
      <c r="C415" s="1908" t="s">
        <v>1645</v>
      </c>
    </row>
    <row r="416" spans="1:3">
      <c r="A416" s="1907" t="s">
        <v>463</v>
      </c>
      <c r="B416" s="1910">
        <v>1.73</v>
      </c>
      <c r="C416" s="1908" t="s">
        <v>1645</v>
      </c>
    </row>
    <row r="417" spans="1:3">
      <c r="A417" s="1907" t="s">
        <v>462</v>
      </c>
      <c r="B417" s="1910">
        <v>1.1200000000000001</v>
      </c>
      <c r="C417" s="1908" t="s">
        <v>1645</v>
      </c>
    </row>
    <row r="418" spans="1:3">
      <c r="A418" s="1907" t="s">
        <v>464</v>
      </c>
      <c r="B418" s="1910">
        <v>1.8</v>
      </c>
      <c r="C418" s="1908" t="s">
        <v>1645</v>
      </c>
    </row>
    <row r="419" spans="1:3">
      <c r="A419" s="1907" t="s">
        <v>1563</v>
      </c>
      <c r="B419" s="1910">
        <v>7.76</v>
      </c>
      <c r="C419" s="1908">
        <v>0</v>
      </c>
    </row>
    <row r="420" spans="1:3">
      <c r="A420" s="1907" t="s">
        <v>1512</v>
      </c>
      <c r="B420" s="1910">
        <v>2.0299999999999998</v>
      </c>
      <c r="C420" s="1908" t="s">
        <v>1645</v>
      </c>
    </row>
    <row r="421" spans="1:3">
      <c r="A421" s="1907" t="s">
        <v>859</v>
      </c>
      <c r="B421" s="1910">
        <v>11.1</v>
      </c>
      <c r="C421" s="1908">
        <v>0</v>
      </c>
    </row>
    <row r="422" spans="1:3">
      <c r="A422" s="1907" t="s">
        <v>1638</v>
      </c>
      <c r="B422" s="1910">
        <v>11</v>
      </c>
      <c r="C422" s="1908">
        <v>0</v>
      </c>
    </row>
    <row r="423" spans="1:3">
      <c r="A423" s="1907" t="s">
        <v>193</v>
      </c>
      <c r="B423" s="1910">
        <v>5.46</v>
      </c>
      <c r="C423" s="1908">
        <v>0</v>
      </c>
    </row>
    <row r="424" spans="1:3">
      <c r="A424" s="1907" t="s">
        <v>189</v>
      </c>
      <c r="B424" s="1910">
        <v>1.9</v>
      </c>
      <c r="C424" s="1908">
        <v>0</v>
      </c>
    </row>
    <row r="425" spans="1:3">
      <c r="A425" s="1907" t="s">
        <v>1677</v>
      </c>
      <c r="B425" s="1910">
        <v>8.85</v>
      </c>
      <c r="C425" s="1908" t="s">
        <v>1645</v>
      </c>
    </row>
    <row r="426" spans="1:3">
      <c r="A426" s="1907" t="s">
        <v>191</v>
      </c>
      <c r="B426" s="1910">
        <v>3.15</v>
      </c>
      <c r="C426" s="1908">
        <v>0</v>
      </c>
    </row>
    <row r="427" spans="1:3">
      <c r="A427" s="1907" t="s">
        <v>1656</v>
      </c>
      <c r="B427" s="1910">
        <v>4.47</v>
      </c>
      <c r="C427" s="1908" t="s">
        <v>1645</v>
      </c>
    </row>
    <row r="428" spans="1:3">
      <c r="A428" s="1907" t="s">
        <v>666</v>
      </c>
      <c r="B428" s="1910">
        <v>12.46</v>
      </c>
      <c r="C428" s="1908">
        <v>0</v>
      </c>
    </row>
    <row r="429" spans="1:3">
      <c r="A429" s="1907" t="s">
        <v>914</v>
      </c>
      <c r="B429" s="1910">
        <v>5.25</v>
      </c>
      <c r="C429" s="1908" t="s">
        <v>1645</v>
      </c>
    </row>
    <row r="430" spans="1:3">
      <c r="A430" s="1907" t="s">
        <v>1576</v>
      </c>
      <c r="B430" s="1910">
        <v>1.32</v>
      </c>
      <c r="C430" s="1908" t="s">
        <v>1645</v>
      </c>
    </row>
    <row r="431" spans="1:3">
      <c r="A431" s="1907" t="s">
        <v>1575</v>
      </c>
      <c r="B431" s="1910">
        <v>1.17</v>
      </c>
      <c r="C431" s="1908" t="s">
        <v>1645</v>
      </c>
    </row>
    <row r="432" spans="1:3">
      <c r="A432" s="1907" t="s">
        <v>1577</v>
      </c>
      <c r="B432" s="1910">
        <v>3.08</v>
      </c>
      <c r="C432" s="1908" t="s">
        <v>1645</v>
      </c>
    </row>
    <row r="433" spans="1:3">
      <c r="A433" s="1907" t="s">
        <v>406</v>
      </c>
      <c r="B433" s="1910">
        <v>1.73</v>
      </c>
      <c r="C433" s="1908" t="s">
        <v>1645</v>
      </c>
    </row>
    <row r="434" spans="1:3">
      <c r="A434" s="1907" t="s">
        <v>421</v>
      </c>
      <c r="B434" s="1910">
        <v>1.98</v>
      </c>
      <c r="C434" s="1908" t="s">
        <v>1645</v>
      </c>
    </row>
    <row r="435" spans="1:3">
      <c r="A435" s="1907" t="s">
        <v>423</v>
      </c>
      <c r="B435" s="1910">
        <v>2.0699999999999998</v>
      </c>
      <c r="C435" s="1908" t="s">
        <v>1645</v>
      </c>
    </row>
    <row r="436" spans="1:3">
      <c r="A436" s="1907" t="s">
        <v>410</v>
      </c>
      <c r="B436" s="1910">
        <v>3.05</v>
      </c>
      <c r="C436" s="1908" t="s">
        <v>1645</v>
      </c>
    </row>
    <row r="437" spans="1:3">
      <c r="A437" s="1907" t="s">
        <v>425</v>
      </c>
      <c r="B437" s="1910">
        <v>2.63</v>
      </c>
      <c r="C437" s="1908" t="s">
        <v>1645</v>
      </c>
    </row>
    <row r="438" spans="1:3">
      <c r="A438" s="1907" t="s">
        <v>407</v>
      </c>
      <c r="B438" s="1910">
        <v>2.85</v>
      </c>
      <c r="C438" s="1908" t="s">
        <v>1645</v>
      </c>
    </row>
    <row r="439" spans="1:3">
      <c r="A439" s="1907" t="s">
        <v>1557</v>
      </c>
      <c r="B439" s="1910">
        <v>4.3099999999999996</v>
      </c>
      <c r="C439" s="1908" t="s">
        <v>1645</v>
      </c>
    </row>
    <row r="440" spans="1:3">
      <c r="A440" s="1907" t="s">
        <v>413</v>
      </c>
      <c r="B440" s="1910">
        <v>4.88</v>
      </c>
      <c r="C440" s="1908" t="s">
        <v>1645</v>
      </c>
    </row>
    <row r="441" spans="1:3">
      <c r="A441" s="1907" t="s">
        <v>408</v>
      </c>
      <c r="B441" s="1910">
        <v>5.59</v>
      </c>
      <c r="C441" s="1908" t="s">
        <v>1645</v>
      </c>
    </row>
    <row r="442" spans="1:3">
      <c r="A442" s="1907" t="s">
        <v>415</v>
      </c>
      <c r="B442" s="1910">
        <v>4.96</v>
      </c>
      <c r="C442" s="1908" t="s">
        <v>1645</v>
      </c>
    </row>
    <row r="443" spans="1:3">
      <c r="A443" s="1907" t="s">
        <v>417</v>
      </c>
      <c r="B443" s="1910">
        <v>2.73</v>
      </c>
      <c r="C443" s="1908" t="s">
        <v>1645</v>
      </c>
    </row>
    <row r="444" spans="1:3">
      <c r="A444" s="1907" t="s">
        <v>419</v>
      </c>
      <c r="B444" s="1910">
        <v>5.76</v>
      </c>
      <c r="C444" s="1908" t="s">
        <v>1645</v>
      </c>
    </row>
    <row r="445" spans="1:3">
      <c r="A445" s="1907" t="s">
        <v>409</v>
      </c>
      <c r="B445" s="1910">
        <v>6.18</v>
      </c>
      <c r="C445" s="1908" t="s">
        <v>1645</v>
      </c>
    </row>
    <row r="446" spans="1:3">
      <c r="A446" s="1907" t="s">
        <v>427</v>
      </c>
      <c r="B446" s="1910">
        <v>1.29</v>
      </c>
      <c r="C446" s="1908" t="s">
        <v>1645</v>
      </c>
    </row>
    <row r="447" spans="1:3">
      <c r="A447" s="1907" t="s">
        <v>428</v>
      </c>
      <c r="B447" s="1910">
        <v>2.14</v>
      </c>
      <c r="C447" s="1908" t="s">
        <v>1645</v>
      </c>
    </row>
    <row r="448" spans="1:3">
      <c r="A448" s="1907" t="s">
        <v>429</v>
      </c>
      <c r="B448" s="1910">
        <v>1.53</v>
      </c>
      <c r="C448" s="1908" t="s">
        <v>1645</v>
      </c>
    </row>
    <row r="449" spans="1:3">
      <c r="A449" s="1907" t="s">
        <v>430</v>
      </c>
      <c r="B449" s="1910">
        <v>2.4900000000000002</v>
      </c>
      <c r="C449" s="1908" t="s">
        <v>1645</v>
      </c>
    </row>
    <row r="450" spans="1:3">
      <c r="A450" s="1907" t="s">
        <v>432</v>
      </c>
      <c r="B450" s="1910">
        <v>4.08</v>
      </c>
      <c r="C450" s="1908" t="s">
        <v>1645</v>
      </c>
    </row>
    <row r="451" spans="1:3">
      <c r="A451" s="1907" t="s">
        <v>431</v>
      </c>
      <c r="B451" s="1910">
        <v>3.71</v>
      </c>
      <c r="C451" s="1908" t="s">
        <v>1645</v>
      </c>
    </row>
    <row r="452" spans="1:3">
      <c r="A452" s="1907" t="s">
        <v>433</v>
      </c>
      <c r="B452" s="1910">
        <v>7.15</v>
      </c>
      <c r="C452" s="1908" t="s">
        <v>1645</v>
      </c>
    </row>
    <row r="453" spans="1:3">
      <c r="A453" s="1907" t="s">
        <v>434</v>
      </c>
      <c r="B453" s="1910">
        <v>1.53</v>
      </c>
      <c r="C453" s="1908" t="s">
        <v>1645</v>
      </c>
    </row>
    <row r="454" spans="1:3">
      <c r="A454" s="1907" t="s">
        <v>546</v>
      </c>
      <c r="B454" s="1910">
        <v>1.58</v>
      </c>
      <c r="C454" s="1908" t="s">
        <v>1645</v>
      </c>
    </row>
    <row r="455" spans="1:3">
      <c r="A455" s="1907" t="s">
        <v>435</v>
      </c>
      <c r="B455" s="1910">
        <v>2.64</v>
      </c>
      <c r="C455" s="1908" t="s">
        <v>1645</v>
      </c>
    </row>
    <row r="456" spans="1:3">
      <c r="A456" s="1907" t="s">
        <v>790</v>
      </c>
      <c r="B456" s="1910">
        <v>2.27</v>
      </c>
      <c r="C456" s="1908" t="s">
        <v>1645</v>
      </c>
    </row>
    <row r="457" spans="1:3">
      <c r="A457" s="1907" t="s">
        <v>547</v>
      </c>
      <c r="B457" s="1910">
        <v>3.21</v>
      </c>
      <c r="C457" s="1908" t="s">
        <v>1645</v>
      </c>
    </row>
    <row r="458" spans="1:3">
      <c r="A458" s="1907" t="s">
        <v>436</v>
      </c>
      <c r="B458" s="1910">
        <v>5.77</v>
      </c>
      <c r="C458" s="1908" t="s">
        <v>1645</v>
      </c>
    </row>
    <row r="459" spans="1:3">
      <c r="A459" s="1907" t="s">
        <v>203</v>
      </c>
      <c r="B459" s="1910">
        <v>8.5</v>
      </c>
      <c r="C459" s="1908">
        <v>0</v>
      </c>
    </row>
    <row r="460" spans="1:3">
      <c r="A460" s="1907" t="s">
        <v>869</v>
      </c>
      <c r="B460" s="1910">
        <v>7.85</v>
      </c>
      <c r="C460" s="1908">
        <v>0</v>
      </c>
    </row>
    <row r="461" spans="1:3">
      <c r="A461" s="1907" t="s">
        <v>201</v>
      </c>
      <c r="B461" s="1910">
        <v>4.2699999999999996</v>
      </c>
      <c r="C461" s="1908" t="s">
        <v>1645</v>
      </c>
    </row>
    <row r="462" spans="1:3">
      <c r="A462" s="1907" t="s">
        <v>197</v>
      </c>
      <c r="B462" s="1910">
        <v>4.96</v>
      </c>
      <c r="C462" s="1908">
        <v>0</v>
      </c>
    </row>
    <row r="463" spans="1:3">
      <c r="A463" s="1907" t="s">
        <v>199</v>
      </c>
      <c r="B463" s="1910">
        <v>5.27</v>
      </c>
      <c r="C463" s="1908">
        <v>0</v>
      </c>
    </row>
    <row r="464" spans="1:3">
      <c r="A464" s="1907" t="s">
        <v>195</v>
      </c>
      <c r="B464" s="1910">
        <v>3.04</v>
      </c>
      <c r="C464" s="1908">
        <v>0</v>
      </c>
    </row>
    <row r="465" spans="1:3">
      <c r="A465" s="1907" t="s">
        <v>1556</v>
      </c>
      <c r="B465" s="1910">
        <v>2.78</v>
      </c>
      <c r="C465" s="1908">
        <v>0</v>
      </c>
    </row>
    <row r="466" spans="1:3">
      <c r="A466" s="1907" t="s">
        <v>279</v>
      </c>
      <c r="B466" s="1910">
        <v>3.15</v>
      </c>
      <c r="C466" s="1908">
        <v>0</v>
      </c>
    </row>
    <row r="467" spans="1:3">
      <c r="A467" s="1907" t="s">
        <v>1641</v>
      </c>
      <c r="B467" s="1910">
        <v>2.67</v>
      </c>
      <c r="C467" s="1908">
        <v>0</v>
      </c>
    </row>
    <row r="468" spans="1:3">
      <c r="A468" s="1907" t="s">
        <v>1696</v>
      </c>
      <c r="B468" s="1910">
        <v>4.76</v>
      </c>
      <c r="C468" s="1908" t="s">
        <v>1645</v>
      </c>
    </row>
    <row r="469" spans="1:3">
      <c r="A469" s="1907" t="s">
        <v>1689</v>
      </c>
      <c r="B469" s="1910">
        <v>6.54</v>
      </c>
      <c r="C469" s="1908" t="s">
        <v>1645</v>
      </c>
    </row>
    <row r="470" spans="1:3">
      <c r="A470" s="1907" t="s">
        <v>223</v>
      </c>
      <c r="B470" s="1910">
        <v>3.77</v>
      </c>
      <c r="C470" s="1908" t="s">
        <v>1645</v>
      </c>
    </row>
    <row r="471" spans="1:3">
      <c r="A471" s="1907" t="s">
        <v>1690</v>
      </c>
      <c r="B471" s="1910">
        <v>4.1900000000000004</v>
      </c>
      <c r="C471" s="1908" t="s">
        <v>1645</v>
      </c>
    </row>
    <row r="472" spans="1:3">
      <c r="A472" s="1907" t="s">
        <v>222</v>
      </c>
      <c r="B472" s="1910">
        <v>4.25</v>
      </c>
      <c r="C472" s="1908">
        <v>0</v>
      </c>
    </row>
    <row r="473" spans="1:3">
      <c r="A473" s="1907" t="s">
        <v>226</v>
      </c>
      <c r="B473" s="1910">
        <v>5.03</v>
      </c>
      <c r="C473" s="1908">
        <v>0</v>
      </c>
    </row>
    <row r="474" spans="1:3">
      <c r="A474" s="1907" t="s">
        <v>230</v>
      </c>
      <c r="B474" s="1910">
        <v>5.35</v>
      </c>
      <c r="C474" s="1908">
        <v>0</v>
      </c>
    </row>
    <row r="475" spans="1:3">
      <c r="A475" s="1907" t="s">
        <v>220</v>
      </c>
      <c r="B475" s="1910">
        <v>1.64</v>
      </c>
      <c r="C475" s="1908">
        <v>0</v>
      </c>
    </row>
    <row r="476" spans="1:3">
      <c r="A476" s="1907" t="s">
        <v>224</v>
      </c>
      <c r="B476" s="1910">
        <v>1.75</v>
      </c>
      <c r="C476" s="1908">
        <v>0</v>
      </c>
    </row>
    <row r="477" spans="1:3">
      <c r="A477" s="1907" t="s">
        <v>228</v>
      </c>
      <c r="B477" s="1910">
        <v>1.74</v>
      </c>
      <c r="C477" s="1908">
        <v>0</v>
      </c>
    </row>
    <row r="478" spans="1:3">
      <c r="A478" s="1907" t="s">
        <v>1695</v>
      </c>
      <c r="B478" s="1910">
        <v>8.49</v>
      </c>
      <c r="C478" s="1908" t="s">
        <v>1645</v>
      </c>
    </row>
    <row r="479" spans="1:3">
      <c r="A479" s="1907" t="s">
        <v>1688</v>
      </c>
      <c r="B479" s="1910">
        <v>9.0299999999999994</v>
      </c>
      <c r="C479" s="1908" t="s">
        <v>1645</v>
      </c>
    </row>
    <row r="480" spans="1:3">
      <c r="A480" s="1907" t="s">
        <v>221</v>
      </c>
      <c r="B480" s="1910">
        <v>2.61</v>
      </c>
      <c r="C480" s="1908">
        <v>0</v>
      </c>
    </row>
    <row r="481" spans="1:3">
      <c r="A481" s="1907" t="s">
        <v>225</v>
      </c>
      <c r="B481" s="1910">
        <v>3.06</v>
      </c>
      <c r="C481" s="1908">
        <v>0</v>
      </c>
    </row>
    <row r="482" spans="1:3">
      <c r="A482" s="1907" t="s">
        <v>229</v>
      </c>
      <c r="B482" s="1910">
        <v>3.23</v>
      </c>
      <c r="C482" s="1908">
        <v>0</v>
      </c>
    </row>
    <row r="483" spans="1:3">
      <c r="A483" s="1907" t="s">
        <v>438</v>
      </c>
      <c r="B483" s="1910">
        <v>1.32</v>
      </c>
      <c r="C483" s="1908" t="s">
        <v>1645</v>
      </c>
    </row>
    <row r="484" spans="1:3">
      <c r="A484" s="1907" t="s">
        <v>439</v>
      </c>
      <c r="B484" s="1910">
        <v>2.14</v>
      </c>
      <c r="C484" s="1908" t="s">
        <v>1645</v>
      </c>
    </row>
    <row r="485" spans="1:3">
      <c r="A485" s="1907" t="s">
        <v>440</v>
      </c>
      <c r="B485" s="1910">
        <v>2.95</v>
      </c>
      <c r="C485" s="1908" t="s">
        <v>1645</v>
      </c>
    </row>
    <row r="486" spans="1:3">
      <c r="A486" s="1907" t="s">
        <v>441</v>
      </c>
      <c r="B486" s="1910">
        <v>4.5599999999999996</v>
      </c>
      <c r="C486" s="1908" t="s">
        <v>1645</v>
      </c>
    </row>
    <row r="487" spans="1:3">
      <c r="A487" s="1907" t="s">
        <v>442</v>
      </c>
      <c r="B487" s="1910">
        <v>1.02</v>
      </c>
      <c r="C487" s="1908" t="s">
        <v>1645</v>
      </c>
    </row>
    <row r="488" spans="1:3">
      <c r="A488" s="1907" t="s">
        <v>443</v>
      </c>
      <c r="B488" s="1910">
        <v>1.63</v>
      </c>
      <c r="C488" s="1908" t="s">
        <v>1645</v>
      </c>
    </row>
    <row r="489" spans="1:3">
      <c r="A489" s="1907" t="s">
        <v>444</v>
      </c>
      <c r="B489" s="1910">
        <v>1.73</v>
      </c>
      <c r="C489" s="1908" t="s">
        <v>1645</v>
      </c>
    </row>
    <row r="490" spans="1:3">
      <c r="A490" s="1907" t="s">
        <v>445</v>
      </c>
      <c r="B490" s="1910">
        <v>1.93</v>
      </c>
      <c r="C490" s="1908" t="s">
        <v>1645</v>
      </c>
    </row>
    <row r="491" spans="1:3">
      <c r="A491" s="1907" t="s">
        <v>447</v>
      </c>
      <c r="B491" s="1910">
        <v>2.78</v>
      </c>
      <c r="C491" s="1908" t="s">
        <v>1645</v>
      </c>
    </row>
    <row r="492" spans="1:3">
      <c r="A492" s="1907" t="s">
        <v>446</v>
      </c>
      <c r="B492" s="1910">
        <v>2.17</v>
      </c>
      <c r="C492" s="1908" t="s">
        <v>1645</v>
      </c>
    </row>
    <row r="493" spans="1:3">
      <c r="A493" s="1907" t="s">
        <v>448</v>
      </c>
      <c r="B493" s="1910">
        <v>3.99</v>
      </c>
      <c r="C493" s="1908" t="s">
        <v>1645</v>
      </c>
    </row>
    <row r="494" spans="1:3">
      <c r="A494" s="1907" t="s">
        <v>449</v>
      </c>
      <c r="B494" s="1910">
        <v>1.02</v>
      </c>
      <c r="C494" s="1908" t="s">
        <v>1645</v>
      </c>
    </row>
    <row r="495" spans="1:3">
      <c r="A495" s="1907" t="s">
        <v>450</v>
      </c>
      <c r="B495" s="1910">
        <v>1.1299999999999999</v>
      </c>
      <c r="C495" s="1908" t="s">
        <v>1645</v>
      </c>
    </row>
    <row r="496" spans="1:3">
      <c r="A496" s="1907" t="s">
        <v>451</v>
      </c>
      <c r="B496" s="1910">
        <v>1.53</v>
      </c>
      <c r="C496" s="1908" t="s">
        <v>1645</v>
      </c>
    </row>
    <row r="497" spans="1:3">
      <c r="A497" s="1907" t="s">
        <v>452</v>
      </c>
      <c r="B497" s="1910">
        <v>1.83</v>
      </c>
      <c r="C497" s="1908" t="s">
        <v>1645</v>
      </c>
    </row>
    <row r="498" spans="1:3">
      <c r="A498" s="1907" t="s">
        <v>454</v>
      </c>
      <c r="B498" s="1910">
        <v>2.59</v>
      </c>
      <c r="C498" s="1908" t="s">
        <v>1645</v>
      </c>
    </row>
    <row r="499" spans="1:3">
      <c r="A499" s="1907" t="s">
        <v>455</v>
      </c>
      <c r="B499" s="1910">
        <v>3.14</v>
      </c>
      <c r="C499" s="1908" t="s">
        <v>1645</v>
      </c>
    </row>
    <row r="500" spans="1:3">
      <c r="A500" s="1907" t="s">
        <v>453</v>
      </c>
      <c r="B500" s="1910">
        <v>2.2000000000000002</v>
      </c>
      <c r="C500" s="1908" t="s">
        <v>1645</v>
      </c>
    </row>
    <row r="501" spans="1:3">
      <c r="A501" s="1907" t="s">
        <v>1628</v>
      </c>
      <c r="B501" s="1910">
        <v>0.62</v>
      </c>
      <c r="C501" s="1908">
        <v>0</v>
      </c>
    </row>
    <row r="502" spans="1:3">
      <c r="A502" s="1907" t="s">
        <v>1629</v>
      </c>
      <c r="B502" s="1910">
        <v>0.7</v>
      </c>
      <c r="C502" s="1908">
        <v>0</v>
      </c>
    </row>
    <row r="503" spans="1:3">
      <c r="A503" s="1907" t="s">
        <v>1630</v>
      </c>
      <c r="B503" s="1910">
        <v>0.93</v>
      </c>
      <c r="C503" s="1908">
        <v>0</v>
      </c>
    </row>
    <row r="504" spans="1:3">
      <c r="A504" s="1907" t="s">
        <v>1631</v>
      </c>
      <c r="B504" s="1910">
        <v>1.26</v>
      </c>
      <c r="C504" s="1908">
        <v>0</v>
      </c>
    </row>
    <row r="505" spans="1:3">
      <c r="A505" s="1907" t="s">
        <v>1632</v>
      </c>
      <c r="B505" s="1910">
        <v>1.47</v>
      </c>
      <c r="C505" s="1908">
        <v>0</v>
      </c>
    </row>
    <row r="506" spans="1:3">
      <c r="A506" s="1907" t="s">
        <v>1633</v>
      </c>
      <c r="B506" s="1910">
        <v>1.9</v>
      </c>
      <c r="C506" s="1908">
        <v>0</v>
      </c>
    </row>
    <row r="507" spans="1:3">
      <c r="A507" s="1907" t="s">
        <v>963</v>
      </c>
      <c r="B507" s="1910">
        <v>11.93</v>
      </c>
      <c r="C507" s="1908">
        <v>0</v>
      </c>
    </row>
    <row r="508" spans="1:3">
      <c r="A508" s="1907" t="s">
        <v>962</v>
      </c>
      <c r="B508" s="1910">
        <v>10.73</v>
      </c>
      <c r="C508" s="1908">
        <v>0</v>
      </c>
    </row>
    <row r="509" spans="1:3">
      <c r="A509" s="1907" t="s">
        <v>1734</v>
      </c>
      <c r="B509" s="1910">
        <v>0.2</v>
      </c>
      <c r="C509" s="1908" t="s">
        <v>1645</v>
      </c>
    </row>
    <row r="510" spans="1:3">
      <c r="A510" s="1907" t="s">
        <v>1659</v>
      </c>
      <c r="B510" s="1910">
        <v>18.399999999999999</v>
      </c>
      <c r="C510" s="1908">
        <v>0</v>
      </c>
    </row>
    <row r="511" spans="1:3">
      <c r="A511" s="1907" t="s">
        <v>738</v>
      </c>
      <c r="B511" s="1910">
        <v>19.91</v>
      </c>
      <c r="C511" s="1908">
        <v>0</v>
      </c>
    </row>
    <row r="512" spans="1:3">
      <c r="A512" s="1907" t="s">
        <v>1644</v>
      </c>
      <c r="B512" s="1910">
        <v>17.940000000000001</v>
      </c>
      <c r="C512" s="1908">
        <v>0</v>
      </c>
    </row>
    <row r="513" spans="1:3">
      <c r="A513" s="1907" t="s">
        <v>1668</v>
      </c>
      <c r="B513" s="1910">
        <v>2.4300000000000002</v>
      </c>
      <c r="C513" s="1908" t="s">
        <v>1645</v>
      </c>
    </row>
    <row r="514" spans="1:3">
      <c r="A514" s="1907" t="s">
        <v>764</v>
      </c>
      <c r="B514" s="1910">
        <v>6.7</v>
      </c>
      <c r="C514" s="1908">
        <v>0</v>
      </c>
    </row>
    <row r="515" spans="1:3">
      <c r="A515" s="1907" t="s">
        <v>1667</v>
      </c>
      <c r="B515" s="1910">
        <v>4.04</v>
      </c>
      <c r="C515" s="1908" t="s">
        <v>1645</v>
      </c>
    </row>
    <row r="516" spans="1:3">
      <c r="A516" s="1907" t="s">
        <v>763</v>
      </c>
      <c r="B516" s="1910">
        <v>9.8800000000000008</v>
      </c>
      <c r="C516" s="1908">
        <v>0</v>
      </c>
    </row>
    <row r="517" spans="1:3">
      <c r="A517" s="1907" t="s">
        <v>367</v>
      </c>
      <c r="B517" s="1910">
        <v>8.5399999999999991</v>
      </c>
      <c r="C517" s="1908" t="s">
        <v>1645</v>
      </c>
    </row>
    <row r="518" spans="1:3">
      <c r="A518" s="1907" t="s">
        <v>1721</v>
      </c>
      <c r="B518" s="1910">
        <v>7.81</v>
      </c>
      <c r="C518" s="1908" t="s">
        <v>1645</v>
      </c>
    </row>
    <row r="519" spans="1:3">
      <c r="A519" s="1907" t="s">
        <v>366</v>
      </c>
      <c r="B519" s="1910">
        <v>11.2</v>
      </c>
      <c r="C519" s="1908">
        <v>0</v>
      </c>
    </row>
    <row r="520" spans="1:3">
      <c r="A520" s="1907" t="s">
        <v>1722</v>
      </c>
      <c r="B520" s="1910">
        <v>17.149999999999999</v>
      </c>
      <c r="C520" s="1908">
        <v>0</v>
      </c>
    </row>
    <row r="521" spans="1:3">
      <c r="A521" s="1907" t="s">
        <v>365</v>
      </c>
      <c r="B521" s="1910">
        <v>7.68</v>
      </c>
      <c r="C521" s="1908">
        <v>0</v>
      </c>
    </row>
    <row r="522" spans="1:3">
      <c r="A522" s="1907" t="s">
        <v>1723</v>
      </c>
      <c r="B522" s="1910">
        <v>3.11</v>
      </c>
      <c r="C522" s="1908" t="s">
        <v>1645</v>
      </c>
    </row>
    <row r="523" spans="1:3">
      <c r="A523" s="1907" t="s">
        <v>1665</v>
      </c>
      <c r="B523" s="1910">
        <v>3.08</v>
      </c>
      <c r="C523" s="1908" t="s">
        <v>1645</v>
      </c>
    </row>
    <row r="524" spans="1:3">
      <c r="A524" s="1907" t="s">
        <v>363</v>
      </c>
      <c r="B524" s="1910">
        <v>3</v>
      </c>
      <c r="C524" s="1908">
        <v>0</v>
      </c>
    </row>
    <row r="525" spans="1:3">
      <c r="A525" s="1907" t="s">
        <v>1725</v>
      </c>
      <c r="B525" s="1910">
        <v>1.0900000000000001</v>
      </c>
      <c r="C525" s="1908" t="s">
        <v>1645</v>
      </c>
    </row>
    <row r="526" spans="1:3">
      <c r="A526" s="1907" t="s">
        <v>1666</v>
      </c>
      <c r="B526" s="1910">
        <v>1.53</v>
      </c>
      <c r="C526" s="1908" t="s">
        <v>1645</v>
      </c>
    </row>
    <row r="527" spans="1:3">
      <c r="A527" s="1907" t="s">
        <v>368</v>
      </c>
      <c r="B527" s="1910">
        <v>12.2</v>
      </c>
      <c r="C527" s="1908" t="s">
        <v>1645</v>
      </c>
    </row>
    <row r="528" spans="1:3">
      <c r="A528" s="1907" t="s">
        <v>1720</v>
      </c>
      <c r="B528" s="1910">
        <v>12.53</v>
      </c>
      <c r="C528" s="1908" t="s">
        <v>1645</v>
      </c>
    </row>
    <row r="529" spans="1:3">
      <c r="A529" s="1907" t="s">
        <v>364</v>
      </c>
      <c r="B529" s="1910">
        <v>5.28</v>
      </c>
      <c r="C529" s="1908">
        <v>0</v>
      </c>
    </row>
    <row r="530" spans="1:3">
      <c r="A530" s="1907" t="s">
        <v>1724</v>
      </c>
      <c r="B530" s="1910">
        <v>2.92</v>
      </c>
      <c r="C530" s="1908" t="s">
        <v>1645</v>
      </c>
    </row>
    <row r="531" spans="1:3">
      <c r="A531" s="1907" t="s">
        <v>1643</v>
      </c>
      <c r="B531" s="1910">
        <v>2.34</v>
      </c>
      <c r="C531" s="1908" t="s">
        <v>1645</v>
      </c>
    </row>
    <row r="532" spans="1:3">
      <c r="A532" s="1907" t="s">
        <v>829</v>
      </c>
      <c r="B532" s="1910">
        <v>37.32</v>
      </c>
      <c r="C532" s="1908">
        <v>0</v>
      </c>
    </row>
    <row r="533" spans="1:3">
      <c r="A533" s="1907" t="s">
        <v>832</v>
      </c>
      <c r="B533" s="1910">
        <v>18.670000000000002</v>
      </c>
      <c r="C533" s="1908" t="s">
        <v>1645</v>
      </c>
    </row>
    <row r="534" spans="1:3">
      <c r="A534" s="1907" t="s">
        <v>839</v>
      </c>
      <c r="B534" s="1910">
        <v>9.5</v>
      </c>
      <c r="C534" s="1908" t="s">
        <v>1645</v>
      </c>
    </row>
    <row r="535" spans="1:3">
      <c r="A535" s="1907" t="s">
        <v>836</v>
      </c>
      <c r="B535" s="1910">
        <v>28.01</v>
      </c>
      <c r="C535" s="1908">
        <v>0</v>
      </c>
    </row>
    <row r="536" spans="1:3">
      <c r="A536" s="1907" t="s">
        <v>1639</v>
      </c>
      <c r="B536" s="1910">
        <v>15.82</v>
      </c>
      <c r="C536" s="1908">
        <v>0</v>
      </c>
    </row>
    <row r="537" spans="1:3">
      <c r="A537" s="1907" t="s">
        <v>240</v>
      </c>
      <c r="B537" s="1910">
        <v>10.130000000000001</v>
      </c>
      <c r="C537" s="1908">
        <v>0</v>
      </c>
    </row>
    <row r="538" spans="1:3">
      <c r="A538" s="1907" t="s">
        <v>239</v>
      </c>
      <c r="B538" s="1910">
        <v>7.21</v>
      </c>
      <c r="C538" s="1908">
        <v>0</v>
      </c>
    </row>
    <row r="539" spans="1:3">
      <c r="A539" s="1907" t="s">
        <v>237</v>
      </c>
      <c r="B539" s="1910">
        <v>2.39</v>
      </c>
      <c r="C539" s="1908">
        <v>0</v>
      </c>
    </row>
    <row r="540" spans="1:3">
      <c r="A540" s="1907" t="s">
        <v>1676</v>
      </c>
      <c r="B540" s="1910">
        <v>2.15</v>
      </c>
      <c r="C540" s="1908">
        <v>0</v>
      </c>
    </row>
    <row r="541" spans="1:3">
      <c r="A541" s="1907" t="s">
        <v>238</v>
      </c>
      <c r="B541" s="1910">
        <v>3.79</v>
      </c>
      <c r="C541" s="1908">
        <v>0</v>
      </c>
    </row>
    <row r="542" spans="1:3">
      <c r="A542" s="1907" t="s">
        <v>1675</v>
      </c>
      <c r="B542" s="1910">
        <v>3.33</v>
      </c>
      <c r="C542" s="1908">
        <v>0</v>
      </c>
    </row>
    <row r="543" spans="1:3">
      <c r="A543" s="1907" t="s">
        <v>545</v>
      </c>
      <c r="B543" s="1910">
        <v>22.37</v>
      </c>
      <c r="C543" s="1908">
        <v>0</v>
      </c>
    </row>
    <row r="544" spans="1:3">
      <c r="A544" s="1907" t="s">
        <v>701</v>
      </c>
      <c r="B544" s="1910">
        <v>12.02</v>
      </c>
      <c r="C544" s="1908">
        <v>0</v>
      </c>
    </row>
    <row r="545" spans="1:3">
      <c r="A545" s="1907" t="s">
        <v>233</v>
      </c>
      <c r="B545" s="1910">
        <v>7.68</v>
      </c>
      <c r="C545" s="1908">
        <v>0</v>
      </c>
    </row>
    <row r="546" spans="1:3">
      <c r="A546" s="1907" t="s">
        <v>231</v>
      </c>
      <c r="B546" s="1910">
        <v>3.06</v>
      </c>
      <c r="C546" s="1908">
        <v>0</v>
      </c>
    </row>
    <row r="547" spans="1:3">
      <c r="A547" s="1907" t="s">
        <v>1681</v>
      </c>
      <c r="B547" s="1910">
        <v>41.39</v>
      </c>
      <c r="C547" s="1908">
        <v>0</v>
      </c>
    </row>
    <row r="548" spans="1:3">
      <c r="A548" s="1907" t="s">
        <v>232</v>
      </c>
      <c r="B548" s="1910">
        <v>4.25</v>
      </c>
      <c r="C548" s="1908">
        <v>0</v>
      </c>
    </row>
    <row r="549" spans="1:3">
      <c r="A549" s="1907" t="s">
        <v>1700</v>
      </c>
      <c r="B549" s="1910">
        <v>2.52</v>
      </c>
      <c r="C549" s="1908">
        <v>0</v>
      </c>
    </row>
    <row r="550" spans="1:3">
      <c r="A550" s="1907" t="s">
        <v>1701</v>
      </c>
      <c r="B550" s="1910">
        <v>1.07</v>
      </c>
      <c r="C550" s="1908" t="s">
        <v>1645</v>
      </c>
    </row>
    <row r="551" spans="1:3">
      <c r="A551" s="1907" t="s">
        <v>1544</v>
      </c>
      <c r="B551" s="1910">
        <v>5.04</v>
      </c>
      <c r="C551" s="1908">
        <v>0</v>
      </c>
    </row>
    <row r="552" spans="1:3">
      <c r="A552" s="1907" t="s">
        <v>1543</v>
      </c>
      <c r="B552" s="1910">
        <v>7.56</v>
      </c>
      <c r="C552" s="1908">
        <v>0</v>
      </c>
    </row>
    <row r="553" spans="1:3">
      <c r="A553" s="1907" t="s">
        <v>1547</v>
      </c>
      <c r="B553" s="1910">
        <v>6.5</v>
      </c>
      <c r="C553" s="1908">
        <v>0</v>
      </c>
    </row>
    <row r="554" spans="1:3">
      <c r="A554" s="1907" t="s">
        <v>1541</v>
      </c>
      <c r="B554" s="1910">
        <v>2.36</v>
      </c>
      <c r="C554" s="1908">
        <v>0</v>
      </c>
    </row>
    <row r="555" spans="1:3">
      <c r="A555" s="1907" t="s">
        <v>1542</v>
      </c>
      <c r="B555" s="1910">
        <v>4.4400000000000004</v>
      </c>
      <c r="C555" s="1908">
        <v>0</v>
      </c>
    </row>
    <row r="556" spans="1:3">
      <c r="A556" s="1907" t="s">
        <v>1540</v>
      </c>
      <c r="B556" s="1910">
        <v>3.55</v>
      </c>
      <c r="C556" s="1908">
        <v>0</v>
      </c>
    </row>
    <row r="557" spans="1:3">
      <c r="A557" s="1907" t="s">
        <v>1538</v>
      </c>
      <c r="B557" s="1910">
        <v>1.66</v>
      </c>
      <c r="C557" s="1908">
        <v>0</v>
      </c>
    </row>
    <row r="558" spans="1:3">
      <c r="A558" s="1907" t="s">
        <v>1539</v>
      </c>
      <c r="B558" s="1910">
        <v>1.71</v>
      </c>
      <c r="C558" s="1908">
        <v>0</v>
      </c>
    </row>
    <row r="559" spans="1:3">
      <c r="A559" s="1907" t="s">
        <v>1535</v>
      </c>
      <c r="B559" s="1910">
        <v>0.65</v>
      </c>
      <c r="C559" s="1908">
        <v>0</v>
      </c>
    </row>
    <row r="560" spans="1:3">
      <c r="A560" s="1907" t="s">
        <v>1536</v>
      </c>
      <c r="B560" s="1910">
        <v>0.47</v>
      </c>
      <c r="C560" s="1908">
        <v>0</v>
      </c>
    </row>
    <row r="561" spans="1:3">
      <c r="A561" s="1907" t="s">
        <v>1546</v>
      </c>
      <c r="B561" s="1910">
        <v>2.14</v>
      </c>
      <c r="C561" s="1908" t="s">
        <v>1645</v>
      </c>
    </row>
    <row r="562" spans="1:3">
      <c r="A562" s="1907" t="s">
        <v>1545</v>
      </c>
      <c r="B562" s="1910">
        <v>4.07</v>
      </c>
      <c r="C562" s="1908" t="s">
        <v>1645</v>
      </c>
    </row>
    <row r="563" spans="1:3">
      <c r="A563" s="1907" t="s">
        <v>1548</v>
      </c>
      <c r="B563" s="1910">
        <v>8.7799999999999994</v>
      </c>
      <c r="C563" s="1908">
        <v>0</v>
      </c>
    </row>
    <row r="564" spans="1:3">
      <c r="A564" s="1907" t="s">
        <v>1549</v>
      </c>
      <c r="B564" s="1910">
        <v>5.35</v>
      </c>
      <c r="C564" s="1908" t="s">
        <v>1645</v>
      </c>
    </row>
    <row r="565" spans="1:3">
      <c r="A565" s="1907" t="s">
        <v>1550</v>
      </c>
      <c r="B565" s="1910">
        <v>5.94</v>
      </c>
      <c r="C565" s="1908" t="s">
        <v>1645</v>
      </c>
    </row>
    <row r="566" spans="1:3">
      <c r="A566" s="1907" t="s">
        <v>1537</v>
      </c>
      <c r="B566" s="1910">
        <v>0.71</v>
      </c>
      <c r="C566" s="1908">
        <v>0</v>
      </c>
    </row>
    <row r="567" spans="1:3">
      <c r="A567" s="1907" t="s">
        <v>1534</v>
      </c>
      <c r="B567" s="1910">
        <v>0.11</v>
      </c>
      <c r="C567" s="1908" t="s">
        <v>1645</v>
      </c>
    </row>
    <row r="568" spans="1:3">
      <c r="A568" s="1907" t="s">
        <v>1187</v>
      </c>
      <c r="B568" s="1910">
        <v>0.51</v>
      </c>
      <c r="C568" s="1908" t="s">
        <v>1645</v>
      </c>
    </row>
    <row r="569" spans="1:3">
      <c r="A569" s="1907" t="s">
        <v>1634</v>
      </c>
      <c r="B569" s="1910">
        <v>0.41</v>
      </c>
      <c r="C569" s="1908" t="s">
        <v>1645</v>
      </c>
    </row>
    <row r="570" spans="1:3">
      <c r="A570" s="1907" t="s">
        <v>1635</v>
      </c>
      <c r="B570" s="1910">
        <v>0.41</v>
      </c>
      <c r="C570" s="1908" t="s">
        <v>1645</v>
      </c>
    </row>
    <row r="571" spans="1:3">
      <c r="A571" s="1907" t="s">
        <v>1636</v>
      </c>
      <c r="B571" s="1910">
        <v>0.51</v>
      </c>
      <c r="C571" s="1908" t="s">
        <v>1645</v>
      </c>
    </row>
    <row r="572" spans="1:3">
      <c r="A572" s="1907" t="s">
        <v>1637</v>
      </c>
      <c r="B572" s="1910">
        <v>0.61</v>
      </c>
      <c r="C572" s="1908" t="s">
        <v>1645</v>
      </c>
    </row>
    <row r="573" spans="1:3">
      <c r="A573" s="1907" t="s">
        <v>1674</v>
      </c>
      <c r="B573" s="1910">
        <v>0.73</v>
      </c>
      <c r="C573" s="1908" t="s">
        <v>1645</v>
      </c>
    </row>
  </sheetData>
  <protectedRanges>
    <protectedRange sqref="A3:B573" name="Цены номенклатуры_1"/>
  </protectedRanges>
  <autoFilter ref="A1:C573" xr:uid="{00000000-0009-0000-0000-000002000000}"/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2"/>
  <dimension ref="A1:AP1361"/>
  <sheetViews>
    <sheetView topLeftCell="AQ1" workbookViewId="0">
      <selection activeCell="BA10" sqref="BA10"/>
    </sheetView>
  </sheetViews>
  <sheetFormatPr defaultColWidth="9.140625" defaultRowHeight="15"/>
  <cols>
    <col min="1" max="1" width="18.28515625" style="17" hidden="1" customWidth="1"/>
    <col min="2" max="2" width="22.85546875" style="148" hidden="1" customWidth="1"/>
    <col min="3" max="3" width="14" style="148" hidden="1" customWidth="1"/>
    <col min="4" max="4" width="8.7109375" style="148" hidden="1" customWidth="1"/>
    <col min="5" max="5" width="12" style="148" hidden="1" customWidth="1"/>
    <col min="6" max="6" width="10" style="148" hidden="1" customWidth="1"/>
    <col min="7" max="7" width="10.28515625" style="148" hidden="1" customWidth="1"/>
    <col min="8" max="8" width="8.42578125" style="149" hidden="1" customWidth="1"/>
    <col min="9" max="9" width="8.42578125" style="150" hidden="1" customWidth="1"/>
    <col min="10" max="10" width="10.28515625" style="6" hidden="1" customWidth="1"/>
    <col min="11" max="11" width="9.42578125" style="7" hidden="1" customWidth="1"/>
    <col min="12" max="12" width="8.85546875" style="8" hidden="1" customWidth="1"/>
    <col min="13" max="13" width="12.85546875" style="151" hidden="1" customWidth="1"/>
    <col min="14" max="14" width="11.140625" style="10" hidden="1" customWidth="1"/>
    <col min="15" max="15" width="12" style="152" hidden="1" customWidth="1"/>
    <col min="16" max="16" width="10.7109375" style="152" hidden="1" customWidth="1"/>
    <col min="17" max="17" width="6.7109375" style="153" hidden="1" customWidth="1"/>
    <col min="18" max="18" width="12.85546875" style="17" hidden="1" customWidth="1"/>
    <col min="19" max="19" width="12.28515625" style="17" hidden="1" customWidth="1"/>
    <col min="20" max="20" width="12" style="17" hidden="1" customWidth="1"/>
    <col min="21" max="23" width="12" style="154" hidden="1" customWidth="1"/>
    <col min="24" max="24" width="17.140625" style="154" hidden="1" customWidth="1"/>
    <col min="25" max="25" width="15.5703125" style="154" hidden="1" customWidth="1"/>
    <col min="26" max="26" width="12" style="154" hidden="1" customWidth="1"/>
    <col min="27" max="27" width="12.140625" style="17" hidden="1" customWidth="1"/>
    <col min="28" max="28" width="11.7109375" style="17" hidden="1" customWidth="1"/>
    <col min="29" max="29" width="11.28515625" style="17" hidden="1" customWidth="1"/>
    <col min="30" max="30" width="13" style="17" hidden="1" customWidth="1"/>
    <col min="31" max="32" width="10.140625" style="154" hidden="1" customWidth="1"/>
    <col min="33" max="33" width="10.140625" style="1864" hidden="1" customWidth="1"/>
    <col min="34" max="34" width="12.140625" style="17" hidden="1" customWidth="1"/>
    <col min="35" max="35" width="20.7109375" style="13" hidden="1" customWidth="1"/>
    <col min="36" max="36" width="15.140625" style="155" hidden="1" customWidth="1"/>
    <col min="37" max="37" width="15" style="15" hidden="1" customWidth="1"/>
    <col min="38" max="38" width="13.28515625" style="13" hidden="1" customWidth="1"/>
    <col min="39" max="39" width="12.28515625" style="16" hidden="1" customWidth="1"/>
    <col min="40" max="40" width="21.5703125" style="16" hidden="1" customWidth="1"/>
    <col min="41" max="41" width="4.28515625" style="17" hidden="1" customWidth="1"/>
    <col min="42" max="42" width="9.140625" style="17" hidden="1" customWidth="1"/>
    <col min="43" max="47" width="9.140625" style="17" customWidth="1"/>
    <col min="48" max="16384" width="9.140625" style="17"/>
  </cols>
  <sheetData>
    <row r="1" spans="1:41" ht="45.75" thickBot="1">
      <c r="A1" s="1852" t="s">
        <v>1020</v>
      </c>
      <c r="B1" s="2"/>
      <c r="C1" s="2214" t="s">
        <v>1021</v>
      </c>
      <c r="D1" s="2214"/>
      <c r="E1" s="2214"/>
      <c r="F1" s="3" t="str">
        <f>$C$3</f>
        <v>Группа D</v>
      </c>
      <c r="G1" s="4"/>
      <c r="H1" s="1847"/>
      <c r="I1" s="5"/>
      <c r="M1" s="9"/>
      <c r="O1" s="2215" t="s">
        <v>1022</v>
      </c>
      <c r="P1" s="2216"/>
      <c r="Q1" s="2216"/>
      <c r="R1" s="2216"/>
      <c r="S1" s="2217" t="s">
        <v>1023</v>
      </c>
      <c r="T1" s="2218"/>
      <c r="U1" s="2219" t="s">
        <v>1024</v>
      </c>
      <c r="V1" s="2220"/>
      <c r="W1" s="2220"/>
      <c r="X1" s="2220"/>
      <c r="Y1" s="2220"/>
      <c r="Z1" s="2221"/>
      <c r="AA1" s="11"/>
      <c r="AB1" s="11"/>
      <c r="AC1" s="11"/>
      <c r="AD1" s="11"/>
      <c r="AE1" s="12"/>
      <c r="AF1" s="12"/>
      <c r="AG1" s="1858"/>
      <c r="AH1" s="11"/>
      <c r="AJ1" s="14" t="s">
        <v>1025</v>
      </c>
      <c r="AL1" s="14" t="s">
        <v>1025</v>
      </c>
    </row>
    <row r="2" spans="1:41" ht="19.5" thickBot="1">
      <c r="A2" s="1852" t="s">
        <v>1026</v>
      </c>
      <c r="B2" s="2"/>
      <c r="C2" s="18"/>
      <c r="D2" s="2222" t="s">
        <v>1027</v>
      </c>
      <c r="E2" s="2223"/>
      <c r="F2" s="2223"/>
      <c r="G2" s="2223"/>
      <c r="H2" s="2223"/>
      <c r="I2" s="2223"/>
      <c r="J2" s="2223"/>
      <c r="K2" s="2224"/>
      <c r="L2" s="2224"/>
      <c r="M2" s="2223"/>
      <c r="N2" s="2225"/>
      <c r="O2" s="2226" t="s">
        <v>1028</v>
      </c>
      <c r="P2" s="2228" t="s">
        <v>1029</v>
      </c>
      <c r="Q2" s="2229"/>
      <c r="R2" s="2232" t="s">
        <v>1030</v>
      </c>
      <c r="S2" s="2234" t="s">
        <v>1031</v>
      </c>
      <c r="T2" s="19"/>
      <c r="U2" s="2236" t="s">
        <v>1032</v>
      </c>
      <c r="V2" s="2242" t="s">
        <v>1033</v>
      </c>
      <c r="W2" s="2242" t="s">
        <v>1034</v>
      </c>
      <c r="X2" s="2244" t="s">
        <v>1031</v>
      </c>
      <c r="Y2" s="2236" t="s">
        <v>1035</v>
      </c>
      <c r="Z2" s="2244" t="s">
        <v>1036</v>
      </c>
      <c r="AA2" s="20"/>
      <c r="AB2" s="20"/>
      <c r="AC2" s="20"/>
      <c r="AD2" s="20"/>
      <c r="AE2" s="21"/>
      <c r="AF2" s="21"/>
      <c r="AG2" s="1859"/>
      <c r="AH2" s="20"/>
      <c r="AI2" s="2229" t="s">
        <v>1037</v>
      </c>
      <c r="AJ2" s="2226" t="s">
        <v>1038</v>
      </c>
      <c r="AK2" s="2226" t="s">
        <v>1039</v>
      </c>
      <c r="AL2" s="2226" t="s">
        <v>1040</v>
      </c>
      <c r="AM2" s="2226" t="s">
        <v>1041</v>
      </c>
      <c r="AN2" s="2226" t="s">
        <v>1042</v>
      </c>
      <c r="AO2" s="2226" t="s">
        <v>1043</v>
      </c>
    </row>
    <row r="3" spans="1:41" ht="39" thickBot="1">
      <c r="A3" s="1852"/>
      <c r="B3" s="22" t="s">
        <v>1044</v>
      </c>
      <c r="C3" s="23" t="s">
        <v>1045</v>
      </c>
      <c r="D3" s="24" t="s">
        <v>1046</v>
      </c>
      <c r="E3" s="25" t="s">
        <v>1047</v>
      </c>
      <c r="F3" s="25" t="s">
        <v>1048</v>
      </c>
      <c r="G3" s="23" t="s">
        <v>1045</v>
      </c>
      <c r="H3" s="2238" t="s">
        <v>1049</v>
      </c>
      <c r="I3" s="2239"/>
      <c r="J3" s="2239"/>
      <c r="K3" s="2240" t="s">
        <v>1032</v>
      </c>
      <c r="L3" s="2241"/>
      <c r="M3" s="26" t="s">
        <v>1032</v>
      </c>
      <c r="N3" s="27" t="s">
        <v>1050</v>
      </c>
      <c r="O3" s="2227"/>
      <c r="P3" s="2230"/>
      <c r="Q3" s="2231"/>
      <c r="R3" s="2233"/>
      <c r="S3" s="2235"/>
      <c r="T3" s="28" t="s">
        <v>1050</v>
      </c>
      <c r="U3" s="2237"/>
      <c r="V3" s="2243"/>
      <c r="W3" s="2243"/>
      <c r="X3" s="2245"/>
      <c r="Y3" s="2237"/>
      <c r="Z3" s="2245"/>
      <c r="AA3" s="20"/>
      <c r="AB3" s="20"/>
      <c r="AC3" s="29"/>
      <c r="AD3" s="20"/>
      <c r="AE3" s="21"/>
      <c r="AF3" s="21"/>
      <c r="AG3" s="1859"/>
      <c r="AH3" s="20"/>
      <c r="AI3" s="2246"/>
      <c r="AJ3" s="2227"/>
      <c r="AK3" s="2227"/>
      <c r="AL3" s="2227"/>
      <c r="AM3" s="2227"/>
      <c r="AN3" s="2227"/>
      <c r="AO3" s="2227"/>
    </row>
    <row r="4" spans="1:41" ht="15.75">
      <c r="A4" s="1852"/>
      <c r="B4" s="2"/>
      <c r="C4" s="30">
        <v>0.49</v>
      </c>
      <c r="D4" s="31">
        <v>0.38</v>
      </c>
      <c r="E4" s="32">
        <v>0.42</v>
      </c>
      <c r="F4" s="32">
        <v>0.45</v>
      </c>
      <c r="G4" s="30">
        <v>0.49</v>
      </c>
      <c r="H4" s="2247" t="s">
        <v>1051</v>
      </c>
      <c r="I4" s="2247"/>
      <c r="J4" s="2248"/>
      <c r="K4" s="2249">
        <f>$S$109</f>
        <v>-3.1437531053228808E-2</v>
      </c>
      <c r="L4" s="2250"/>
      <c r="M4" s="33">
        <f>$T$110</f>
        <v>3.6039690604459142E-2</v>
      </c>
      <c r="N4" s="34">
        <f>COUNTIF(S36:S108,"&lt;5%")</f>
        <v>28</v>
      </c>
      <c r="O4" s="35">
        <v>0.2964</v>
      </c>
      <c r="P4" s="2251">
        <f>COUNTIF(S36:S108,"&gt;-85%")</f>
        <v>35</v>
      </c>
      <c r="Q4" s="2252">
        <f t="shared" ref="Q4:Q22" si="0">COUNTIF(AJ36:AJ108,"&lt;5%")</f>
        <v>0</v>
      </c>
      <c r="R4" s="2253">
        <v>0.27150000000000002</v>
      </c>
      <c r="S4" s="36">
        <f>$P$110</f>
        <v>0.18699056747304005</v>
      </c>
      <c r="T4" s="37">
        <f>COUNTIF(T36:T108,"&lt;0,05")</f>
        <v>20</v>
      </c>
      <c r="U4" s="38">
        <f>$AH$110</f>
        <v>0.16141142857142857</v>
      </c>
      <c r="V4" s="39">
        <v>0.25459999999999999</v>
      </c>
      <c r="W4" s="40">
        <f>(U4-V4)*100%</f>
        <v>-9.3188571428571426E-2</v>
      </c>
      <c r="X4" s="41">
        <f>$AC$110</f>
        <v>8.1599419165275952E-2</v>
      </c>
      <c r="Y4" s="42">
        <f>$AB$110</f>
        <v>0.12781838476239754</v>
      </c>
      <c r="Z4" s="40">
        <f>(Y4-V4)*100%</f>
        <v>-0.12678161523760245</v>
      </c>
      <c r="AA4" s="43"/>
      <c r="AB4" s="43"/>
      <c r="AC4" s="43"/>
      <c r="AD4" s="43"/>
      <c r="AE4" s="44"/>
      <c r="AF4" s="44"/>
      <c r="AG4" s="1860"/>
      <c r="AH4" s="43"/>
      <c r="AI4" s="45">
        <f>AI111</f>
        <v>-4.6754218590990625E-2</v>
      </c>
      <c r="AJ4" s="46">
        <f>AJ111</f>
        <v>294993</v>
      </c>
      <c r="AK4" s="47">
        <f>AK111</f>
        <v>-9598.2575905541144</v>
      </c>
      <c r="AL4" s="48">
        <f>AJ4/$AJ$23</f>
        <v>0.13862303179993826</v>
      </c>
      <c r="AM4" s="49">
        <f>AK4/$AK$23</f>
        <v>8.2794557325762658E-2</v>
      </c>
      <c r="AN4" s="50" t="str">
        <f>B60</f>
        <v>EU.ST1285030 12</v>
      </c>
      <c r="AO4" s="51" t="str">
        <f>B60</f>
        <v>EU.ST1285030 12</v>
      </c>
    </row>
    <row r="5" spans="1:41" ht="15.75">
      <c r="A5" s="1852"/>
      <c r="B5" s="2"/>
      <c r="C5" s="30">
        <v>0.49</v>
      </c>
      <c r="D5" s="31">
        <v>0.4</v>
      </c>
      <c r="E5" s="32">
        <v>0.43</v>
      </c>
      <c r="F5" s="32">
        <v>0.46</v>
      </c>
      <c r="G5" s="30">
        <v>0.49</v>
      </c>
      <c r="H5" s="2255" t="s">
        <v>1052</v>
      </c>
      <c r="I5" s="2255"/>
      <c r="J5" s="2256"/>
      <c r="K5" s="2257">
        <f>$S$139</f>
        <v>-0.25796479609875822</v>
      </c>
      <c r="L5" s="2258"/>
      <c r="M5" s="52">
        <f>$T$139</f>
        <v>-0.17712300104534562</v>
      </c>
      <c r="N5" s="53">
        <f>COUNTIF(S114:S137,"&lt;5%")</f>
        <v>12</v>
      </c>
      <c r="O5" s="54"/>
      <c r="P5" s="2259">
        <f>COUNTIF(S114:S137,"&gt;-85%")</f>
        <v>12</v>
      </c>
      <c r="Q5" s="2260">
        <f t="shared" si="0"/>
        <v>0</v>
      </c>
      <c r="R5" s="2254"/>
      <c r="S5" s="55">
        <f>$P$138</f>
        <v>0.10061591528424929</v>
      </c>
      <c r="T5" s="56">
        <f>COUNTIF(T114:T137,"&lt;5%")</f>
        <v>12</v>
      </c>
      <c r="U5" s="38">
        <f>$AH$139</f>
        <v>9.166666666666666E-2</v>
      </c>
      <c r="V5" s="57">
        <v>0.25459999999999999</v>
      </c>
      <c r="W5" s="40">
        <f>(U5-V5)*100%</f>
        <v>-0.16293333333333332</v>
      </c>
      <c r="X5" s="58">
        <f>$AC$139</f>
        <v>4.6749663573785606E-2</v>
      </c>
      <c r="Y5" s="59">
        <f>$AB$139</f>
        <v>5.4814609312891581E-2</v>
      </c>
      <c r="Z5" s="40">
        <f t="shared" ref="Z5:Z22" si="1">(Y5-V5)*100%</f>
        <v>-0.19978539068710841</v>
      </c>
      <c r="AA5" s="43"/>
      <c r="AB5" s="43"/>
      <c r="AC5" s="43"/>
      <c r="AD5" s="43"/>
      <c r="AE5" s="44"/>
      <c r="AF5" s="44"/>
      <c r="AG5" s="1860"/>
      <c r="AH5" s="43"/>
      <c r="AI5" s="60">
        <f>AI141</f>
        <v>-4.6650381399866277E-2</v>
      </c>
      <c r="AJ5" s="61">
        <f>AJ141</f>
        <v>23402</v>
      </c>
      <c r="AK5" s="62">
        <f>AK141</f>
        <v>-12993.726568425129</v>
      </c>
      <c r="AL5" s="63">
        <f t="shared" ref="AL5:AL22" si="2">AJ5/$AJ$23</f>
        <v>1.0997061591909486E-2</v>
      </c>
      <c r="AM5" s="64">
        <f t="shared" ref="AM5:AM22" si="3">AK5/$AK$23</f>
        <v>0.11208386825370169</v>
      </c>
      <c r="AN5" s="65" t="str">
        <f>B135</f>
        <v>EU.SD8004012 12</v>
      </c>
      <c r="AO5" s="66" t="str">
        <f>B116</f>
        <v>EU.SD8001100 1</v>
      </c>
    </row>
    <row r="6" spans="1:41" ht="16.5" thickBot="1">
      <c r="A6" s="1852"/>
      <c r="B6" s="2"/>
      <c r="C6" s="30">
        <v>0.49</v>
      </c>
      <c r="D6" s="31">
        <v>0.35</v>
      </c>
      <c r="E6" s="32">
        <v>0.41</v>
      </c>
      <c r="F6" s="32">
        <v>0.45</v>
      </c>
      <c r="G6" s="30">
        <v>0.49</v>
      </c>
      <c r="H6" s="2255" t="s">
        <v>1053</v>
      </c>
      <c r="I6" s="2255"/>
      <c r="J6" s="2256"/>
      <c r="K6" s="2257">
        <f>$G$178</f>
        <v>-0.15635445087358432</v>
      </c>
      <c r="L6" s="2258"/>
      <c r="M6" s="52">
        <f>$T$179</f>
        <v>-8.0705094274377789E-2</v>
      </c>
      <c r="N6" s="34">
        <f>COUNTIF(S153:S177,"&lt;5%")</f>
        <v>12</v>
      </c>
      <c r="O6" s="67">
        <v>1.6000000000000001E-3</v>
      </c>
      <c r="P6" s="2263">
        <f>COUNTIF(S153:S177,"&gt;-85%")</f>
        <v>12</v>
      </c>
      <c r="Q6" s="2264">
        <f t="shared" si="0"/>
        <v>0</v>
      </c>
      <c r="R6" s="68">
        <v>7.3499999999999996E-2</v>
      </c>
      <c r="S6" s="69">
        <f>$P$178</f>
        <v>0.26985321470458079</v>
      </c>
      <c r="T6" s="70">
        <f>COUNTIF(T153:T177,"&lt;5%")</f>
        <v>11</v>
      </c>
      <c r="U6" s="38">
        <f>$AH$179</f>
        <v>0.11750000000000001</v>
      </c>
      <c r="V6" s="57">
        <v>0.16</v>
      </c>
      <c r="W6" s="40">
        <f t="shared" ref="W6:W22" si="4">(U6-V6)*100%</f>
        <v>-4.2499999999999996E-2</v>
      </c>
      <c r="X6" s="71">
        <f>$AC$179</f>
        <v>0.12108924780550236</v>
      </c>
      <c r="Y6" s="72">
        <f>$AB$179</f>
        <v>8.3742965052767085E-2</v>
      </c>
      <c r="Z6" s="40">
        <f t="shared" si="1"/>
        <v>-7.6257034947232918E-2</v>
      </c>
      <c r="AA6" s="73"/>
      <c r="AB6" s="73"/>
      <c r="AC6" s="73"/>
      <c r="AD6" s="73"/>
      <c r="AE6" s="74"/>
      <c r="AF6" s="74"/>
      <c r="AG6" s="1861"/>
      <c r="AH6" s="73"/>
      <c r="AI6" s="75">
        <f>AI178</f>
        <v>-3.2291845384200969E-2</v>
      </c>
      <c r="AJ6" s="61">
        <f>AJ180</f>
        <v>2688</v>
      </c>
      <c r="AK6" s="76">
        <f>AK180</f>
        <v>-2795.271729313954</v>
      </c>
      <c r="AL6" s="63">
        <f t="shared" si="2"/>
        <v>1.2631442423319673E-3</v>
      </c>
      <c r="AM6" s="64">
        <f t="shared" si="3"/>
        <v>2.4112010252936654E-2</v>
      </c>
      <c r="AN6" s="77" t="str">
        <f>B153</f>
        <v>EU.ST4108030 12</v>
      </c>
      <c r="AO6" s="78" t="str">
        <f>B174</f>
        <v>EU.ST4109050 1</v>
      </c>
    </row>
    <row r="7" spans="1:41" ht="45.75" thickBot="1">
      <c r="A7" s="79"/>
      <c r="B7" s="80" t="s">
        <v>1054</v>
      </c>
      <c r="C7" s="30">
        <v>0.49</v>
      </c>
      <c r="D7" s="31">
        <v>0.38</v>
      </c>
      <c r="E7" s="32">
        <v>0.42</v>
      </c>
      <c r="F7" s="32">
        <v>0.45</v>
      </c>
      <c r="G7" s="30">
        <v>0.49</v>
      </c>
      <c r="H7" s="2271" t="s">
        <v>1055</v>
      </c>
      <c r="I7" s="2271"/>
      <c r="J7" s="2272"/>
      <c r="K7" s="2257">
        <f>$S$234</f>
        <v>-4.7602222484500072E-2</v>
      </c>
      <c r="L7" s="2258"/>
      <c r="M7" s="52">
        <f>$T$234</f>
        <v>2.0932502350934596E-2</v>
      </c>
      <c r="N7" s="34">
        <f>COUNTIF(S197:S232,"&lt;5%")</f>
        <v>11</v>
      </c>
      <c r="O7" s="81" t="s">
        <v>1056</v>
      </c>
      <c r="P7" s="2263">
        <f>COUNTIF(S197:S232,"&gt;-85%")</f>
        <v>12</v>
      </c>
      <c r="Q7" s="2264">
        <f t="shared" si="0"/>
        <v>0</v>
      </c>
      <c r="R7" s="82"/>
      <c r="S7" s="83">
        <f>$P$234</f>
        <v>0.30594000000078686</v>
      </c>
      <c r="T7" s="84">
        <f>COUNTIF(T197:T232,"&lt;5%")</f>
        <v>9</v>
      </c>
      <c r="U7" s="38">
        <f>$AH$234</f>
        <v>0.17833333333333332</v>
      </c>
      <c r="V7" s="57">
        <v>0.25459999999999999</v>
      </c>
      <c r="W7" s="40">
        <f t="shared" si="4"/>
        <v>-7.6266666666666677E-2</v>
      </c>
      <c r="X7" s="71">
        <f>$AC$234</f>
        <v>0.14121565368720476</v>
      </c>
      <c r="Y7" s="72">
        <f>$AB$234</f>
        <v>0.14672159609015337</v>
      </c>
      <c r="Z7" s="40">
        <f t="shared" si="1"/>
        <v>-0.10787840390984663</v>
      </c>
      <c r="AA7" s="29"/>
      <c r="AB7" s="29"/>
      <c r="AC7" s="29"/>
      <c r="AD7" s="29"/>
      <c r="AE7" s="85"/>
      <c r="AF7" s="85"/>
      <c r="AG7" s="1862"/>
      <c r="AH7" s="29"/>
      <c r="AI7" s="75">
        <f>AI235</f>
        <v>-1.6508311022804385E-2</v>
      </c>
      <c r="AJ7" s="86">
        <f>AJ235</f>
        <v>54521</v>
      </c>
      <c r="AK7" s="76">
        <f>AK235</f>
        <v>-1070.5720706452012</v>
      </c>
      <c r="AL7" s="63">
        <f t="shared" si="2"/>
        <v>2.5620493763460265E-2</v>
      </c>
      <c r="AM7" s="64">
        <f t="shared" si="3"/>
        <v>9.2347532703878424E-3</v>
      </c>
      <c r="AN7" s="77" t="str">
        <f>B207</f>
        <v>EU.ST5055030 12x12</v>
      </c>
      <c r="AO7" s="78" t="str">
        <f>B207</f>
        <v>EU.ST5055030 12x12</v>
      </c>
    </row>
    <row r="8" spans="1:41" ht="15.75">
      <c r="A8" s="87"/>
      <c r="B8" s="2261" t="s">
        <v>1057</v>
      </c>
      <c r="C8" s="30">
        <v>0.49</v>
      </c>
      <c r="D8" s="31">
        <v>0.4</v>
      </c>
      <c r="E8" s="32">
        <v>0.43</v>
      </c>
      <c r="F8" s="32">
        <v>0.45</v>
      </c>
      <c r="G8" s="30">
        <v>0.49</v>
      </c>
      <c r="H8" s="2255" t="s">
        <v>1058</v>
      </c>
      <c r="I8" s="2255"/>
      <c r="J8" s="2256"/>
      <c r="K8" s="2257">
        <f>$R$275</f>
        <v>0.14112591129257018</v>
      </c>
      <c r="L8" s="2258"/>
      <c r="M8" s="52">
        <f>$T$276</f>
        <v>0.19731393578744874</v>
      </c>
      <c r="N8" s="34">
        <f>COUNTIF(S248:S273,"&lt;5%")</f>
        <v>1</v>
      </c>
      <c r="O8" s="67">
        <v>1.5699999999999999E-2</v>
      </c>
      <c r="P8" s="2263">
        <f>COUNTIF(S248:S273,"&gt;-85%")</f>
        <v>12</v>
      </c>
      <c r="Q8" s="2264">
        <f t="shared" si="0"/>
        <v>0</v>
      </c>
      <c r="R8" s="68">
        <v>0.3826</v>
      </c>
      <c r="S8" s="83">
        <f>$P$276</f>
        <v>0.25422560267778255</v>
      </c>
      <c r="T8" s="84">
        <f>COUNTIF(T248:T273,"&lt;5%")</f>
        <v>0</v>
      </c>
      <c r="U8" s="38">
        <f>$AH$296</f>
        <v>0.23999999999999996</v>
      </c>
      <c r="V8" s="57">
        <v>0.33600000000000002</v>
      </c>
      <c r="W8" s="40">
        <f t="shared" si="4"/>
        <v>-9.6000000000000058E-2</v>
      </c>
      <c r="X8" s="71">
        <f>$AC$296</f>
        <v>0.11213235294117641</v>
      </c>
      <c r="Y8" s="72">
        <f>$AB$296</f>
        <v>0.21114155572755419</v>
      </c>
      <c r="Z8" s="40">
        <f t="shared" si="1"/>
        <v>-0.12485844427244583</v>
      </c>
      <c r="AA8" s="29"/>
      <c r="AB8" s="29"/>
      <c r="AC8" s="29"/>
      <c r="AD8" s="29"/>
      <c r="AE8" s="85"/>
      <c r="AF8" s="85"/>
      <c r="AG8" s="1862"/>
      <c r="AH8" s="29"/>
      <c r="AI8" s="75">
        <f>AI276</f>
        <v>0.14343973009234354</v>
      </c>
      <c r="AJ8" s="61">
        <f>AJ276</f>
        <v>14146</v>
      </c>
      <c r="AK8" s="76">
        <f>AK276</f>
        <v>8403.6965928564514</v>
      </c>
      <c r="AL8" s="63">
        <f t="shared" si="2"/>
        <v>6.6474845431651816E-3</v>
      </c>
      <c r="AM8" s="64">
        <f t="shared" si="3"/>
        <v>-7.2490275734035797E-2</v>
      </c>
      <c r="AN8" s="77" t="str">
        <f>B248</f>
        <v>EU.ST4001036 12</v>
      </c>
      <c r="AO8" s="78" t="str">
        <f>B250</f>
        <v>EU.ST4001056 1</v>
      </c>
    </row>
    <row r="9" spans="1:41" ht="16.5" thickBot="1">
      <c r="A9" s="88"/>
      <c r="B9" s="2262"/>
      <c r="C9" s="30">
        <v>0.49</v>
      </c>
      <c r="D9" s="31">
        <v>0.38</v>
      </c>
      <c r="E9" s="32">
        <v>0.42</v>
      </c>
      <c r="F9" s="32">
        <v>0.45</v>
      </c>
      <c r="G9" s="30">
        <v>0.49</v>
      </c>
      <c r="H9" s="2265" t="s">
        <v>1059</v>
      </c>
      <c r="I9" s="2265"/>
      <c r="J9" s="2266"/>
      <c r="K9" s="2267">
        <f>$R$331</f>
        <v>-6.6733926558675646E-2</v>
      </c>
      <c r="L9" s="2268"/>
      <c r="M9" s="52">
        <f>$T$331</f>
        <v>3.0524050853499565E-3</v>
      </c>
      <c r="N9" s="34">
        <f>COUNTIF(S293:S329,"&lt;5%")</f>
        <v>13</v>
      </c>
      <c r="O9" s="2269">
        <v>4.5600000000000002E-2</v>
      </c>
      <c r="P9" s="2263">
        <f>COUNTIF(S293:S329,"&gt;-85%")</f>
        <v>16</v>
      </c>
      <c r="Q9" s="2264">
        <f t="shared" si="0"/>
        <v>0</v>
      </c>
      <c r="R9" s="2273">
        <v>0.23949999999999999</v>
      </c>
      <c r="S9" s="83">
        <f>$P$331</f>
        <v>0.20038185363668473</v>
      </c>
      <c r="T9" s="84">
        <f>COUNTIF(T293:T329,"&lt;5%")</f>
        <v>12</v>
      </c>
      <c r="U9" s="38">
        <f>$AH$331</f>
        <v>0.16500000000000001</v>
      </c>
      <c r="V9" s="57">
        <v>0.25</v>
      </c>
      <c r="W9" s="40">
        <f t="shared" si="4"/>
        <v>-8.4999999999999992E-2</v>
      </c>
      <c r="X9" s="71">
        <f>$AC$331</f>
        <v>2.8301812935307868E-2</v>
      </c>
      <c r="Y9" s="72">
        <f>$AB$331</f>
        <v>0.12143433770093916</v>
      </c>
      <c r="Z9" s="40">
        <f t="shared" si="1"/>
        <v>-0.12856566229906086</v>
      </c>
      <c r="AA9" s="29"/>
      <c r="AB9" s="29"/>
      <c r="AC9" s="29"/>
      <c r="AD9" s="29"/>
      <c r="AE9" s="85"/>
      <c r="AF9" s="85"/>
      <c r="AG9" s="1862"/>
      <c r="AH9" s="29"/>
      <c r="AI9" s="89">
        <f>AI332</f>
        <v>-0.1233182575920138</v>
      </c>
      <c r="AJ9" s="86">
        <f>AJ332</f>
        <v>94330</v>
      </c>
      <c r="AK9" s="90">
        <f>AK332</f>
        <v>753.60356450282643</v>
      </c>
      <c r="AL9" s="48">
        <f t="shared" si="2"/>
        <v>4.4327528414871455E-2</v>
      </c>
      <c r="AM9" s="91">
        <f t="shared" si="3"/>
        <v>-6.5005833541633747E-3</v>
      </c>
      <c r="AN9" s="92" t="str">
        <f>B293</f>
        <v>EU.ST4009037 12</v>
      </c>
      <c r="AO9" s="93" t="str">
        <f>B293</f>
        <v>EU.ST4009037 12</v>
      </c>
    </row>
    <row r="10" spans="1:41" ht="15.75">
      <c r="A10" s="1852"/>
      <c r="B10" s="2"/>
      <c r="C10" s="30">
        <v>0.49</v>
      </c>
      <c r="D10" s="31">
        <v>0.38</v>
      </c>
      <c r="E10" s="32">
        <v>0.42</v>
      </c>
      <c r="F10" s="32">
        <v>0.45</v>
      </c>
      <c r="G10" s="30">
        <v>0.49</v>
      </c>
      <c r="H10" s="2255" t="s">
        <v>1060</v>
      </c>
      <c r="I10" s="2255"/>
      <c r="J10" s="2256"/>
      <c r="K10" s="2257">
        <f>$R$372</f>
        <v>-0.13279127211166392</v>
      </c>
      <c r="L10" s="2258"/>
      <c r="M10" s="52">
        <f>$S$372</f>
        <v>-5.8683431880059686E-2</v>
      </c>
      <c r="N10" s="34">
        <f>COUNTIF(S341:S370,"&lt;5%")</f>
        <v>4</v>
      </c>
      <c r="O10" s="2270"/>
      <c r="P10" s="2263">
        <f>COUNTIF(R388:S391,"&gt;-85%")</f>
        <v>8</v>
      </c>
      <c r="Q10" s="2264">
        <f t="shared" si="0"/>
        <v>0</v>
      </c>
      <c r="R10" s="2274"/>
      <c r="S10" s="94"/>
      <c r="T10" s="84">
        <f>COUNTIF(T341:T372,"&lt;5%")</f>
        <v>4</v>
      </c>
      <c r="U10" s="38">
        <f>$AH$372</f>
        <v>0.19999999999999993</v>
      </c>
      <c r="V10" s="57">
        <v>0.25</v>
      </c>
      <c r="W10" s="40">
        <f t="shared" si="4"/>
        <v>-5.0000000000000072E-2</v>
      </c>
      <c r="X10" s="71">
        <f>$AC$372</f>
        <v>0</v>
      </c>
      <c r="Y10" s="72">
        <f>$AB$372</f>
        <v>0.16858610199923668</v>
      </c>
      <c r="Z10" s="40">
        <f t="shared" si="1"/>
        <v>-8.1413898000763318E-2</v>
      </c>
      <c r="AA10" s="29"/>
      <c r="AB10" s="29"/>
      <c r="AC10" s="29"/>
      <c r="AD10" s="29"/>
      <c r="AE10" s="85"/>
      <c r="AF10" s="85"/>
      <c r="AG10" s="1862"/>
      <c r="AH10" s="29"/>
      <c r="AI10" s="75">
        <f>AI374</f>
        <v>-0.13279127211166392</v>
      </c>
      <c r="AJ10" s="61">
        <f>AJ374</f>
        <v>83</v>
      </c>
      <c r="AK10" s="76">
        <f>AK374</f>
        <v>-167.59278440132675</v>
      </c>
      <c r="AL10" s="63">
        <f t="shared" si="2"/>
        <v>3.9003337839863573E-5</v>
      </c>
      <c r="AM10" s="64">
        <f t="shared" si="3"/>
        <v>1.4456551373611105E-3</v>
      </c>
      <c r="AN10" s="77" t="str">
        <f>B362</f>
        <v>EU.ST6199030 12</v>
      </c>
      <c r="AO10" s="78" t="str">
        <f>B362</f>
        <v>EU.ST6199030 12</v>
      </c>
    </row>
    <row r="11" spans="1:41" ht="15.75">
      <c r="A11" s="1852"/>
      <c r="B11" s="2"/>
      <c r="C11" s="30">
        <v>0.47</v>
      </c>
      <c r="D11" s="31">
        <v>0.38</v>
      </c>
      <c r="E11" s="32">
        <v>0.4</v>
      </c>
      <c r="F11" s="32">
        <v>0.43</v>
      </c>
      <c r="G11" s="30">
        <v>0.47</v>
      </c>
      <c r="H11" s="2275" t="s">
        <v>1061</v>
      </c>
      <c r="I11" s="2275"/>
      <c r="J11" s="2276"/>
      <c r="K11" s="2277">
        <f>$S$392</f>
        <v>-0.18917270817494852</v>
      </c>
      <c r="L11" s="2278"/>
      <c r="M11" s="52">
        <f>$T$392</f>
        <v>-0.11137636278032567</v>
      </c>
      <c r="N11" s="34">
        <f>COUNTIF(R388:R391,"&lt;5%")</f>
        <v>4</v>
      </c>
      <c r="O11" s="95">
        <v>1.17E-2</v>
      </c>
      <c r="P11" s="2263">
        <f>COUNTIF(R388:R391,"&gt;-85%")</f>
        <v>4</v>
      </c>
      <c r="Q11" s="2264">
        <f t="shared" si="0"/>
        <v>0</v>
      </c>
      <c r="R11" s="96">
        <v>0.1208</v>
      </c>
      <c r="S11" s="69">
        <f>$P$391</f>
        <v>0.26313971188898755</v>
      </c>
      <c r="T11" s="84">
        <f>COUNTIF(T388:T391,"&lt;5%")</f>
        <v>4</v>
      </c>
      <c r="U11" s="38">
        <f>$AH$392</f>
        <v>0.14000000000000001</v>
      </c>
      <c r="V11" s="57">
        <v>0.1177</v>
      </c>
      <c r="W11" s="97">
        <f t="shared" si="4"/>
        <v>2.2300000000000014E-2</v>
      </c>
      <c r="X11" s="71">
        <f>$AC$392</f>
        <v>8.0609824266139607E-3</v>
      </c>
      <c r="Y11" s="72">
        <f>$AB$392</f>
        <v>3.4775099411037395E-2</v>
      </c>
      <c r="Z11" s="40">
        <f t="shared" si="1"/>
        <v>-8.2924900588962597E-2</v>
      </c>
      <c r="AA11" s="29"/>
      <c r="AB11" s="29"/>
      <c r="AC11" s="29"/>
      <c r="AD11" s="29"/>
      <c r="AE11" s="85"/>
      <c r="AF11" s="85"/>
      <c r="AG11" s="1862"/>
      <c r="AH11" s="29"/>
      <c r="AI11" s="98">
        <f>AI392</f>
        <v>-0.15482371179300258</v>
      </c>
      <c r="AJ11" s="99">
        <f>AJ392</f>
        <v>134779</v>
      </c>
      <c r="AK11" s="100">
        <f>AK392</f>
        <v>-16665.934186813014</v>
      </c>
      <c r="AL11" s="101">
        <f t="shared" si="2"/>
        <v>6.3335311695409305E-2</v>
      </c>
      <c r="AM11" s="102">
        <f t="shared" si="3"/>
        <v>0.14376032633000196</v>
      </c>
      <c r="AN11" s="103" t="str">
        <f>B388</f>
        <v>EU.16x2</v>
      </c>
      <c r="AO11" s="104" t="str">
        <f>B388</f>
        <v>EU.16x2</v>
      </c>
    </row>
    <row r="12" spans="1:41" ht="15.75">
      <c r="A12" s="1852"/>
      <c r="B12" s="2"/>
      <c r="C12" s="30">
        <v>0.54</v>
      </c>
      <c r="D12" s="31">
        <v>0.42</v>
      </c>
      <c r="E12" s="32">
        <v>0.46</v>
      </c>
      <c r="F12" s="32">
        <v>0.49</v>
      </c>
      <c r="G12" s="30">
        <v>0.54</v>
      </c>
      <c r="H12" s="2279" t="s">
        <v>1062</v>
      </c>
      <c r="I12" s="2279"/>
      <c r="J12" s="2280"/>
      <c r="K12" s="2267">
        <f>$S$429</f>
        <v>6.6750834908546858E-2</v>
      </c>
      <c r="L12" s="2268"/>
      <c r="M12" s="52">
        <f>$T$429</f>
        <v>0.12780451860611858</v>
      </c>
      <c r="N12" s="34">
        <f>COUNTIF(S455:S461,"&lt;5%")</f>
        <v>1</v>
      </c>
      <c r="O12" s="2269">
        <v>8.0199999999999994E-2</v>
      </c>
      <c r="P12" s="2263">
        <f>COUNTIF(S409:S427,"&gt;-85%")</f>
        <v>8</v>
      </c>
      <c r="Q12" s="2264">
        <f t="shared" si="0"/>
        <v>0</v>
      </c>
      <c r="R12" s="2273">
        <v>0.32719999999999999</v>
      </c>
      <c r="S12" s="69">
        <f>$P$429</f>
        <v>0.35003584751171013</v>
      </c>
      <c r="T12" s="84">
        <f>COUNTIF(T455:T461,"&lt;5%")</f>
        <v>0</v>
      </c>
      <c r="U12" s="38">
        <f>$AH$440</f>
        <v>0.26600000000000007</v>
      </c>
      <c r="V12" s="57">
        <v>0.32329999999999998</v>
      </c>
      <c r="W12" s="40">
        <f t="shared" si="4"/>
        <v>-5.7299999999999907E-2</v>
      </c>
      <c r="X12" s="71">
        <f>$AC$440</f>
        <v>0.17563005536624277</v>
      </c>
      <c r="Y12" s="72">
        <f>$AB$440</f>
        <v>0.23301107440658803</v>
      </c>
      <c r="Z12" s="40">
        <f t="shared" si="1"/>
        <v>-9.0288925593411951E-2</v>
      </c>
      <c r="AA12" s="29"/>
      <c r="AB12" s="29"/>
      <c r="AC12" s="29"/>
      <c r="AD12" s="29"/>
      <c r="AE12" s="85"/>
      <c r="AF12" s="85"/>
      <c r="AG12" s="1862"/>
      <c r="AH12" s="29"/>
      <c r="AI12" s="89">
        <f>AI442</f>
        <v>8.6609851814832925E-2</v>
      </c>
      <c r="AJ12" s="86">
        <f>AJ442</f>
        <v>60747</v>
      </c>
      <c r="AK12" s="90">
        <f>AK442</f>
        <v>5606.7724286994599</v>
      </c>
      <c r="AL12" s="48">
        <f t="shared" si="2"/>
        <v>2.8546214021183042E-2</v>
      </c>
      <c r="AM12" s="91">
        <f t="shared" si="3"/>
        <v>-4.8364011580320984E-2</v>
      </c>
      <c r="AN12" s="92" t="str">
        <f>B409</f>
        <v>EU.ST6122030 12</v>
      </c>
      <c r="AO12" s="93" t="str">
        <f>B417</f>
        <v>EU.ST6123040 34</v>
      </c>
    </row>
    <row r="13" spans="1:41" ht="15.75">
      <c r="A13" s="1852"/>
      <c r="B13" s="2"/>
      <c r="C13" s="30">
        <v>0.56999999999999995</v>
      </c>
      <c r="D13" s="31">
        <v>0.45</v>
      </c>
      <c r="E13" s="32">
        <v>0.48</v>
      </c>
      <c r="F13" s="32">
        <v>0.51</v>
      </c>
      <c r="G13" s="30">
        <v>0.56999999999999995</v>
      </c>
      <c r="H13" s="2255" t="s">
        <v>1063</v>
      </c>
      <c r="I13" s="2255"/>
      <c r="J13" s="2256"/>
      <c r="K13" s="2257">
        <f>$S$463</f>
        <v>0.15071534062394135</v>
      </c>
      <c r="L13" s="2258"/>
      <c r="M13" s="52">
        <f>$T$463</f>
        <v>0.20627601927471162</v>
      </c>
      <c r="N13" s="34">
        <f>COUNTIF(S489:S489,"&lt;5%")</f>
        <v>0</v>
      </c>
      <c r="O13" s="2270"/>
      <c r="P13" s="2263">
        <f>COUNTIF(S455:S461,"&gt;-85%")</f>
        <v>4</v>
      </c>
      <c r="Q13" s="2264">
        <f t="shared" si="0"/>
        <v>0</v>
      </c>
      <c r="R13" s="2274"/>
      <c r="S13" s="105">
        <f>$P$463</f>
        <v>0.61910327202478854</v>
      </c>
      <c r="T13" s="84">
        <f>COUNTIF(T489:T489,"&lt;5%")</f>
        <v>0</v>
      </c>
      <c r="U13" s="38">
        <f>$AH$469</f>
        <v>0.32666666666666666</v>
      </c>
      <c r="V13" s="57">
        <v>0.32329999999999998</v>
      </c>
      <c r="W13" s="97">
        <f t="shared" si="4"/>
        <v>3.3666666666666845E-3</v>
      </c>
      <c r="X13" s="71">
        <f>$AC$469</f>
        <v>0.49159663865546221</v>
      </c>
      <c r="Y13" s="72">
        <f>$AB$469</f>
        <v>0.26473248440533442</v>
      </c>
      <c r="Z13" s="40">
        <f t="shared" si="1"/>
        <v>-5.8567515594665553E-2</v>
      </c>
      <c r="AA13" s="29"/>
      <c r="AB13" s="29"/>
      <c r="AC13" s="29"/>
      <c r="AD13" s="29"/>
      <c r="AE13" s="85"/>
      <c r="AF13" s="85"/>
      <c r="AG13" s="1862"/>
      <c r="AH13" s="29"/>
      <c r="AI13" s="75">
        <f>AI469</f>
        <v>0.18420763317360112</v>
      </c>
      <c r="AJ13" s="61">
        <f>AJ469</f>
        <v>15813</v>
      </c>
      <c r="AK13" s="76">
        <f>AK469</f>
        <v>8645.53013450867</v>
      </c>
      <c r="AL13" s="63">
        <f t="shared" si="2"/>
        <v>7.4308407380935266E-3</v>
      </c>
      <c r="AM13" s="91">
        <f t="shared" si="3"/>
        <v>-7.4576331545594912E-2</v>
      </c>
      <c r="AN13" s="77" t="str">
        <f>B460</f>
        <v>EU.ST6121030 12</v>
      </c>
      <c r="AO13" s="78" t="str">
        <f>B460</f>
        <v>EU.ST6121030 12</v>
      </c>
    </row>
    <row r="14" spans="1:41" ht="15.75">
      <c r="A14" s="1852"/>
      <c r="B14" s="2"/>
      <c r="C14" s="30">
        <v>0.51</v>
      </c>
      <c r="D14" s="31">
        <v>0.4</v>
      </c>
      <c r="E14" s="32">
        <v>0.43</v>
      </c>
      <c r="F14" s="32">
        <v>0.48</v>
      </c>
      <c r="G14" s="30">
        <v>0.51</v>
      </c>
      <c r="H14" s="2255" t="s">
        <v>1064</v>
      </c>
      <c r="I14" s="2255"/>
      <c r="J14" s="2256"/>
      <c r="K14" s="2257">
        <f>$S$489</f>
        <v>0.23211428571428563</v>
      </c>
      <c r="L14" s="2258"/>
      <c r="M14" s="52">
        <f>$T$489</f>
        <v>0.31049294484148793</v>
      </c>
      <c r="N14" s="34">
        <f>COUNTIF(S411:S429,"&lt;5%")</f>
        <v>3</v>
      </c>
      <c r="O14" s="67">
        <v>1.84E-2</v>
      </c>
      <c r="P14" s="2263">
        <f>COUNTIF(S489:S489,"&gt;-85%")</f>
        <v>1</v>
      </c>
      <c r="Q14" s="2264">
        <f t="shared" si="0"/>
        <v>0</v>
      </c>
      <c r="R14" s="68">
        <v>0.46229999999999999</v>
      </c>
      <c r="S14" s="105">
        <f>$P$489</f>
        <v>0.66071101337731353</v>
      </c>
      <c r="T14" s="84">
        <f>COUNTIF(T411:T429,"&lt;5%")</f>
        <v>1</v>
      </c>
      <c r="U14" s="38">
        <f>$AH$489</f>
        <v>0.37</v>
      </c>
      <c r="V14" s="57">
        <v>0.436</v>
      </c>
      <c r="W14" s="40">
        <f t="shared" si="4"/>
        <v>-6.6000000000000003E-2</v>
      </c>
      <c r="X14" s="71">
        <f>$AC$489</f>
        <v>0.63067926225820981</v>
      </c>
      <c r="Y14" s="72">
        <f>$AB$489</f>
        <v>0.31449878542510112</v>
      </c>
      <c r="Z14" s="40">
        <f t="shared" si="1"/>
        <v>-0.12150121457489887</v>
      </c>
      <c r="AA14" s="29"/>
      <c r="AB14" s="29"/>
      <c r="AC14" s="29"/>
      <c r="AD14" s="29"/>
      <c r="AE14" s="85"/>
      <c r="AF14" s="85"/>
      <c r="AG14" s="1862"/>
      <c r="AH14" s="29"/>
      <c r="AI14" s="75">
        <f>S489</f>
        <v>0.23211428571428563</v>
      </c>
      <c r="AJ14" s="61">
        <f>AJ489</f>
        <v>8955</v>
      </c>
      <c r="AK14" s="76">
        <f>AK489</f>
        <v>6651.4669714285692</v>
      </c>
      <c r="AL14" s="63">
        <f t="shared" si="2"/>
        <v>4.2081312091081721E-3</v>
      </c>
      <c r="AM14" s="64">
        <f t="shared" si="3"/>
        <v>-5.7375545329010805E-2</v>
      </c>
      <c r="AN14" s="77" t="str">
        <f>B489</f>
        <v>EU.ST6136 М30x1.5</v>
      </c>
      <c r="AO14" s="106" t="str">
        <f>B489</f>
        <v>EU.ST6136 М30x1.5</v>
      </c>
    </row>
    <row r="15" spans="1:41" ht="15.75">
      <c r="A15" s="1852"/>
      <c r="B15" s="2"/>
      <c r="C15" s="30">
        <v>0.49</v>
      </c>
      <c r="D15" s="31">
        <v>0.38</v>
      </c>
      <c r="E15" s="32">
        <v>0.43</v>
      </c>
      <c r="F15" s="32">
        <v>0.45</v>
      </c>
      <c r="G15" s="30">
        <v>0.49</v>
      </c>
      <c r="H15" s="2255" t="s">
        <v>1065</v>
      </c>
      <c r="I15" s="2255"/>
      <c r="J15" s="2256"/>
      <c r="K15" s="2257">
        <f>$O$513</f>
        <v>-5.0977419628390398E-2</v>
      </c>
      <c r="L15" s="2258"/>
      <c r="M15" s="52">
        <f>$T$514</f>
        <v>1.7778112496831432E-2</v>
      </c>
      <c r="N15" s="34">
        <f>COUNTIF(S504:S512,"&lt;5%")</f>
        <v>3</v>
      </c>
      <c r="O15" s="67">
        <v>3.1600000000000003E-2</v>
      </c>
      <c r="P15" s="2263">
        <f>COUNTIF(S504:S512,"&gt;-85%")</f>
        <v>5</v>
      </c>
      <c r="Q15" s="2264">
        <f t="shared" si="0"/>
        <v>0</v>
      </c>
      <c r="R15" s="68">
        <v>0.3261</v>
      </c>
      <c r="S15" s="105">
        <f>$P$586</f>
        <v>0.50164534381827008</v>
      </c>
      <c r="T15" s="84">
        <f>COUNTIF(T504:T512,"&lt;5%")</f>
        <v>3</v>
      </c>
      <c r="U15" s="38">
        <f>$AH$514</f>
        <v>0.22399999999999998</v>
      </c>
      <c r="V15" s="57">
        <v>0.3488</v>
      </c>
      <c r="W15" s="40">
        <f t="shared" si="4"/>
        <v>-0.12480000000000002</v>
      </c>
      <c r="X15" s="71">
        <f>$AC$514</f>
        <v>0.45383397119530527</v>
      </c>
      <c r="Y15" s="72">
        <f>$AB$514</f>
        <v>0.17540829324067433</v>
      </c>
      <c r="Z15" s="40">
        <f t="shared" si="1"/>
        <v>-0.17339170675932566</v>
      </c>
      <c r="AA15" s="29"/>
      <c r="AB15" s="29"/>
      <c r="AC15" s="29"/>
      <c r="AD15" s="29"/>
      <c r="AE15" s="85"/>
      <c r="AF15" s="85"/>
      <c r="AG15" s="1862"/>
      <c r="AH15" s="29"/>
      <c r="AI15" s="75">
        <f>AI515</f>
        <v>-5.4654241178540286E-3</v>
      </c>
      <c r="AJ15" s="61">
        <f>AJ515</f>
        <v>15791</v>
      </c>
      <c r="AK15" s="76">
        <f>AK515</f>
        <v>7236.1135133579373</v>
      </c>
      <c r="AL15" s="63">
        <f t="shared" si="2"/>
        <v>7.4205025039672974E-3</v>
      </c>
      <c r="AM15" s="91">
        <f t="shared" si="3"/>
        <v>-6.2418705629138302E-2</v>
      </c>
      <c r="AN15" s="77" t="str">
        <f>B504</f>
        <v>EU.ST6042031 12</v>
      </c>
      <c r="AO15" s="78" t="str">
        <f>B504</f>
        <v>EU.ST6042031 12</v>
      </c>
    </row>
    <row r="16" spans="1:41" ht="15.75">
      <c r="A16" s="1852"/>
      <c r="B16" s="2"/>
      <c r="C16" s="30">
        <v>0.47</v>
      </c>
      <c r="D16" s="31">
        <v>0.38</v>
      </c>
      <c r="E16" s="32">
        <v>0.43</v>
      </c>
      <c r="F16" s="32">
        <v>0.45</v>
      </c>
      <c r="G16" s="30">
        <v>0.47</v>
      </c>
      <c r="H16" s="2255" t="s">
        <v>1066</v>
      </c>
      <c r="I16" s="2255"/>
      <c r="J16" s="2256"/>
      <c r="K16" s="2257">
        <f>$O$586</f>
        <v>6.709348813323493E-2</v>
      </c>
      <c r="L16" s="2258"/>
      <c r="M16" s="52">
        <f>$O$586</f>
        <v>6.709348813323493E-2</v>
      </c>
      <c r="N16" s="34">
        <f>COUNTIF(S527:S578,"&lt;5%")</f>
        <v>3</v>
      </c>
      <c r="O16" s="67">
        <v>1.7100000000000001E-2</v>
      </c>
      <c r="P16" s="2263">
        <f>COUNTIF(S527:S578,"&gt;-85%")</f>
        <v>7</v>
      </c>
      <c r="Q16" s="2264">
        <f t="shared" si="0"/>
        <v>0</v>
      </c>
      <c r="R16" s="68">
        <v>0.30549999999999999</v>
      </c>
      <c r="S16" s="105">
        <f>$P$514</f>
        <v>0.57822621872528368</v>
      </c>
      <c r="T16" s="84">
        <f>COUNTIF(T527:T578,"&lt;5%")</f>
        <v>3</v>
      </c>
      <c r="U16" s="38">
        <f>$AH$586</f>
        <v>0.224</v>
      </c>
      <c r="V16" s="57">
        <v>0.24</v>
      </c>
      <c r="W16" s="40">
        <f t="shared" si="4"/>
        <v>-1.5999999999999986E-2</v>
      </c>
      <c r="X16" s="71">
        <f>$AC$586</f>
        <v>0.40261353898734409</v>
      </c>
      <c r="Y16" s="72">
        <f>$AB$586</f>
        <v>0.15975643329822423</v>
      </c>
      <c r="Z16" s="40">
        <f t="shared" si="1"/>
        <v>-8.0243566701775765E-2</v>
      </c>
      <c r="AA16" s="29"/>
      <c r="AB16" s="29"/>
      <c r="AC16" s="29"/>
      <c r="AD16" s="29"/>
      <c r="AE16" s="85"/>
      <c r="AF16" s="85"/>
      <c r="AG16" s="1862"/>
      <c r="AH16" s="29"/>
      <c r="AI16" s="75">
        <f>AI587</f>
        <v>3.4855206088389816E-2</v>
      </c>
      <c r="AJ16" s="61">
        <f>AJ587</f>
        <v>17752</v>
      </c>
      <c r="AK16" s="76">
        <f>AK587</f>
        <v>307.72301505115911</v>
      </c>
      <c r="AL16" s="63">
        <f t="shared" si="2"/>
        <v>8.3420151004007011E-3</v>
      </c>
      <c r="AM16" s="64">
        <f t="shared" si="3"/>
        <v>-2.6544183222570574E-3</v>
      </c>
      <c r="AN16" s="77" t="str">
        <f>B527</f>
        <v>EU.ST6022032 12</v>
      </c>
      <c r="AO16" s="78" t="str">
        <f>B527</f>
        <v>EU.ST6022032 12</v>
      </c>
    </row>
    <row r="17" spans="1:41" ht="15.75">
      <c r="A17" s="1852"/>
      <c r="B17" s="2"/>
      <c r="C17" s="30">
        <v>0.45</v>
      </c>
      <c r="D17" s="31">
        <v>0.38</v>
      </c>
      <c r="E17" s="32">
        <v>0.41</v>
      </c>
      <c r="F17" s="32">
        <v>0.43</v>
      </c>
      <c r="G17" s="30">
        <v>0.45</v>
      </c>
      <c r="H17" s="2255" t="s">
        <v>1067</v>
      </c>
      <c r="I17" s="2255"/>
      <c r="J17" s="2256"/>
      <c r="K17" s="2257">
        <f>$N$745</f>
        <v>0.15225880596171271</v>
      </c>
      <c r="L17" s="2258"/>
      <c r="M17" s="52">
        <f>$T$745</f>
        <v>0.21332849076343643</v>
      </c>
      <c r="N17" s="34">
        <f>COUNTIF(S595:S694,"&lt;5%")</f>
        <v>31</v>
      </c>
      <c r="O17" s="67">
        <v>0.1196</v>
      </c>
      <c r="P17" s="2263">
        <f>COUNTIF(T595:T741,"&gt;-85%")</f>
        <v>78</v>
      </c>
      <c r="Q17" s="2264">
        <f t="shared" si="0"/>
        <v>0</v>
      </c>
      <c r="R17" s="68">
        <v>0.38200000000000001</v>
      </c>
      <c r="S17" s="105">
        <f>$P$745</f>
        <v>0.1889912756603746</v>
      </c>
      <c r="T17" s="84">
        <f>COUNTIF(T595:T694,"&lt;5%")</f>
        <v>10</v>
      </c>
      <c r="U17" s="38">
        <f>$AH$745</f>
        <v>0.28222222222222237</v>
      </c>
      <c r="V17" s="57">
        <v>0.3604</v>
      </c>
      <c r="W17" s="40">
        <f t="shared" si="4"/>
        <v>-7.8177777777777624E-2</v>
      </c>
      <c r="X17" s="71">
        <f>$AC$745</f>
        <v>0.28710572642463339</v>
      </c>
      <c r="Y17" s="72">
        <f>$AB$745</f>
        <v>0.25512413066163736</v>
      </c>
      <c r="Z17" s="40">
        <f t="shared" si="1"/>
        <v>-0.10527586933836264</v>
      </c>
      <c r="AA17" s="29"/>
      <c r="AB17" s="29"/>
      <c r="AC17" s="29"/>
      <c r="AD17" s="29"/>
      <c r="AE17" s="85"/>
      <c r="AF17" s="85"/>
      <c r="AG17" s="1862"/>
      <c r="AH17" s="29"/>
      <c r="AI17" s="107">
        <f>AI745</f>
        <v>0.10235534831070507</v>
      </c>
      <c r="AJ17" s="86">
        <f>AJ745</f>
        <v>58821</v>
      </c>
      <c r="AK17" s="62">
        <f>AK587</f>
        <v>307.72301505115911</v>
      </c>
      <c r="AL17" s="63">
        <f t="shared" si="2"/>
        <v>2.7641148615405002E-2</v>
      </c>
      <c r="AM17" s="64">
        <f t="shared" si="3"/>
        <v>-2.6544183222570574E-3</v>
      </c>
      <c r="AN17" s="65" t="str">
        <f>B694</f>
        <v>EU.ST3273035 16х2х12</v>
      </c>
      <c r="AO17" s="108" t="str">
        <f>B679</f>
        <v>EU.ST3078145 4х34х12</v>
      </c>
    </row>
    <row r="18" spans="1:41" ht="15.75">
      <c r="A18" s="1852"/>
      <c r="B18" s="2"/>
      <c r="C18" s="30">
        <v>0.51</v>
      </c>
      <c r="D18" s="31">
        <v>0.4</v>
      </c>
      <c r="E18" s="32">
        <v>0.46</v>
      </c>
      <c r="F18" s="32">
        <v>0.48</v>
      </c>
      <c r="G18" s="30">
        <v>0.51</v>
      </c>
      <c r="H18" s="2265" t="s">
        <v>1068</v>
      </c>
      <c r="I18" s="2265"/>
      <c r="J18" s="2266"/>
      <c r="K18" s="2267">
        <f>$R$765</f>
        <v>-4.3454925062567679E-2</v>
      </c>
      <c r="L18" s="2268"/>
      <c r="M18" s="52">
        <f>$S$765</f>
        <v>2.4808481249936828E-2</v>
      </c>
      <c r="N18" s="34">
        <f>COUNTIF(S752:S763,"&lt;5%")</f>
        <v>4</v>
      </c>
      <c r="O18" s="2269">
        <v>0.16500000000000001</v>
      </c>
      <c r="P18" s="2263">
        <f>COUNTIF(S752:S763,"&gt;-85%")</f>
        <v>6</v>
      </c>
      <c r="Q18" s="2264">
        <f t="shared" si="0"/>
        <v>0</v>
      </c>
      <c r="R18" s="2273">
        <v>0.2145</v>
      </c>
      <c r="S18" s="109"/>
      <c r="T18" s="84">
        <f>COUNTIF(T752:T763,"&lt;5%")</f>
        <v>4</v>
      </c>
      <c r="U18" s="38">
        <f>$AH$765</f>
        <v>0.20499999999999999</v>
      </c>
      <c r="V18" s="57">
        <v>0.23</v>
      </c>
      <c r="W18" s="40">
        <f t="shared" si="4"/>
        <v>-2.5000000000000022E-2</v>
      </c>
      <c r="X18" s="71">
        <f>$AC$765</f>
        <v>5.7567254292624104E-2</v>
      </c>
      <c r="Y18" s="72">
        <f>$AB$765</f>
        <v>0.15301145605012445</v>
      </c>
      <c r="Z18" s="40">
        <f t="shared" si="1"/>
        <v>-7.698854394987556E-2</v>
      </c>
      <c r="AA18" s="29"/>
      <c r="AB18" s="29"/>
      <c r="AC18" s="29"/>
      <c r="AD18" s="29"/>
      <c r="AE18" s="85"/>
      <c r="AF18" s="85"/>
      <c r="AG18" s="1862"/>
      <c r="AH18" s="29"/>
      <c r="AI18" s="89">
        <f>AI766</f>
        <v>-4.3779834458930016E-2</v>
      </c>
      <c r="AJ18" s="86">
        <f>AJ766</f>
        <v>322746</v>
      </c>
      <c r="AK18" s="90">
        <f>AK766</f>
        <v>-42032.773276319494</v>
      </c>
      <c r="AL18" s="48">
        <f t="shared" si="2"/>
        <v>0.15166471415017602</v>
      </c>
      <c r="AM18" s="91">
        <f t="shared" si="3"/>
        <v>0.36257464688297775</v>
      </c>
      <c r="AN18" s="92" t="str">
        <f>B752</f>
        <v>EU.ST6134030 12</v>
      </c>
      <c r="AO18" s="93" t="str">
        <f>B752</f>
        <v>EU.ST6134030 12</v>
      </c>
    </row>
    <row r="19" spans="1:41" ht="15.75">
      <c r="A19" s="1852"/>
      <c r="B19" s="2"/>
      <c r="C19" s="30">
        <v>0.52</v>
      </c>
      <c r="D19" s="31">
        <v>0.42</v>
      </c>
      <c r="E19" s="32">
        <v>0.44</v>
      </c>
      <c r="F19" s="32">
        <v>0.47</v>
      </c>
      <c r="G19" s="30">
        <v>0.52</v>
      </c>
      <c r="H19" s="2265" t="s">
        <v>1069</v>
      </c>
      <c r="I19" s="2265"/>
      <c r="J19" s="2266"/>
      <c r="K19" s="2257">
        <f>$R$816</f>
        <v>0.18030327270160834</v>
      </c>
      <c r="L19" s="2258"/>
      <c r="M19" s="52">
        <f>$S$816</f>
        <v>0.20186171721749435</v>
      </c>
      <c r="N19" s="34">
        <f>COUNTIF(S771:S813,"&lt;5%")</f>
        <v>5</v>
      </c>
      <c r="O19" s="2270"/>
      <c r="P19" s="2263">
        <f>COUNTIF(S771:S813,"&gt;-85%")</f>
        <v>10</v>
      </c>
      <c r="Q19" s="2264">
        <f t="shared" si="0"/>
        <v>0</v>
      </c>
      <c r="R19" s="2274"/>
      <c r="S19" s="94"/>
      <c r="T19" s="84">
        <f>COUNTIF(T771:T813,"&lt;5%")</f>
        <v>4</v>
      </c>
      <c r="U19" s="38">
        <f>$AH$816</f>
        <v>0.27400000000000002</v>
      </c>
      <c r="V19" s="57">
        <v>0.23</v>
      </c>
      <c r="W19" s="97">
        <f t="shared" si="4"/>
        <v>4.4000000000000011E-2</v>
      </c>
      <c r="X19" s="71">
        <f>$AC$372</f>
        <v>0</v>
      </c>
      <c r="Y19" s="72">
        <f>$AB$816</f>
        <v>0.18424729083564781</v>
      </c>
      <c r="Z19" s="40">
        <f t="shared" si="1"/>
        <v>-4.5752709164352201E-2</v>
      </c>
      <c r="AA19" s="29"/>
      <c r="AB19" s="29"/>
      <c r="AC19" s="29"/>
      <c r="AD19" s="29"/>
      <c r="AE19" s="85"/>
      <c r="AF19" s="85"/>
      <c r="AG19" s="1862"/>
      <c r="AH19" s="29"/>
      <c r="AI19" s="75">
        <f>AI816</f>
        <v>0.17415662847274377</v>
      </c>
      <c r="AJ19" s="86">
        <f>AJ816</f>
        <v>171908</v>
      </c>
      <c r="AK19" s="76">
        <f>AK816</f>
        <v>2300.7224824046948</v>
      </c>
      <c r="AL19" s="48">
        <f t="shared" si="2"/>
        <v>8.0782961462352615E-2</v>
      </c>
      <c r="AM19" s="64">
        <f t="shared" si="3"/>
        <v>-1.984602910090575E-2</v>
      </c>
      <c r="AN19" s="77" t="str">
        <f>B798</f>
        <v>EU.ST6253306</v>
      </c>
      <c r="AO19" s="78" t="str">
        <f>B771</f>
        <v>EU.ST6252030 170х9</v>
      </c>
    </row>
    <row r="20" spans="1:41" ht="15.75">
      <c r="A20" s="1852"/>
      <c r="B20" s="2"/>
      <c r="C20" s="30">
        <v>0.49</v>
      </c>
      <c r="D20" s="31">
        <v>0.38</v>
      </c>
      <c r="E20" s="32">
        <v>0.42</v>
      </c>
      <c r="F20" s="32">
        <v>0.45</v>
      </c>
      <c r="G20" s="30">
        <v>0.49</v>
      </c>
      <c r="H20" s="2279" t="s">
        <v>1070</v>
      </c>
      <c r="I20" s="2279"/>
      <c r="J20" s="2280"/>
      <c r="K20" s="2267">
        <f>$R$1100</f>
        <v>-0.10656269826939732</v>
      </c>
      <c r="L20" s="2268"/>
      <c r="M20" s="52">
        <f>$T$1100</f>
        <v>-3.5207695144883006E-2</v>
      </c>
      <c r="N20" s="34">
        <f>COUNTIF(S834:S1098,"&lt;5%")</f>
        <v>119</v>
      </c>
      <c r="O20" s="110">
        <v>0.12609999999999999</v>
      </c>
      <c r="P20" s="2263">
        <f>COUNTIF(T834:T1098,"&gt;-85%")</f>
        <v>156</v>
      </c>
      <c r="Q20" s="2264">
        <f t="shared" si="0"/>
        <v>0</v>
      </c>
      <c r="R20" s="111">
        <v>0.19869999999999999</v>
      </c>
      <c r="S20" s="69">
        <f>$P$1100</f>
        <v>0.20371427276061083</v>
      </c>
      <c r="T20" s="84">
        <f>COUNTIF(T834:T1098,"&lt;5%")</f>
        <v>127</v>
      </c>
      <c r="U20" s="38">
        <f>$AH$1100</f>
        <v>0.15128205128205138</v>
      </c>
      <c r="V20" s="57">
        <v>0.19</v>
      </c>
      <c r="W20" s="40">
        <f t="shared" si="4"/>
        <v>-3.8717948717948619E-2</v>
      </c>
      <c r="X20" s="71">
        <f>$AC$1100</f>
        <v>0.10292344367021572</v>
      </c>
      <c r="Y20" s="72">
        <f>$AB$1100</f>
        <v>0.11889875532313088</v>
      </c>
      <c r="Z20" s="40">
        <f t="shared" si="1"/>
        <v>-7.1101244676869124E-2</v>
      </c>
      <c r="AA20" s="29"/>
      <c r="AB20" s="29"/>
      <c r="AC20" s="29"/>
      <c r="AD20" s="29"/>
      <c r="AE20" s="85"/>
      <c r="AF20" s="85"/>
      <c r="AG20" s="1862"/>
      <c r="AH20" s="29"/>
      <c r="AI20" s="60">
        <f>AI1101</f>
        <v>-9.4213470409919051E-2</v>
      </c>
      <c r="AJ20" s="86">
        <f>AJ1101</f>
        <v>744155</v>
      </c>
      <c r="AK20" s="90">
        <f>AK1101</f>
        <v>-76246.332544515099</v>
      </c>
      <c r="AL20" s="112">
        <f t="shared" si="2"/>
        <v>0.34969311891835758</v>
      </c>
      <c r="AM20" s="91">
        <f t="shared" si="3"/>
        <v>0.65770076403748368</v>
      </c>
      <c r="AN20" s="92" t="str">
        <f>B938</f>
        <v>EU.ST3014035 12</v>
      </c>
      <c r="AO20" s="93" t="str">
        <f>B927</f>
        <v>EU.ST3046085 2</v>
      </c>
    </row>
    <row r="21" spans="1:41" ht="15.75">
      <c r="A21" s="1852"/>
      <c r="B21" s="2"/>
      <c r="C21" s="30">
        <v>0.45</v>
      </c>
      <c r="D21" s="31">
        <v>0.38</v>
      </c>
      <c r="E21" s="32">
        <v>0.41</v>
      </c>
      <c r="F21" s="32">
        <v>0.43</v>
      </c>
      <c r="G21" s="30">
        <v>0.45</v>
      </c>
      <c r="H21" s="2279" t="s">
        <v>1071</v>
      </c>
      <c r="I21" s="2279"/>
      <c r="J21" s="2280"/>
      <c r="K21" s="2267">
        <f>$S$1225</f>
        <v>-3.9133264414699977E-2</v>
      </c>
      <c r="L21" s="2268"/>
      <c r="M21" s="52">
        <f>$T$1225</f>
        <v>2.8847416434859864E-2</v>
      </c>
      <c r="N21" s="34">
        <f>COUNTIF(S1115:S1222,"&lt;5%")</f>
        <v>54</v>
      </c>
      <c r="O21" s="110">
        <v>3.2500000000000001E-2</v>
      </c>
      <c r="P21" s="2263">
        <f>COUNTIF(S1115:S1222,"&gt;-85%")</f>
        <v>68</v>
      </c>
      <c r="Q21" s="2264">
        <f t="shared" si="0"/>
        <v>0</v>
      </c>
      <c r="R21" s="111">
        <v>0.1663</v>
      </c>
      <c r="S21" s="69">
        <f>$P$1225</f>
        <v>4.5479710186629968E-2</v>
      </c>
      <c r="T21" s="84">
        <f>COUNTIF(T1115:T1222,"&lt;5%")</f>
        <v>45</v>
      </c>
      <c r="U21" s="38">
        <f>$AH$1225</f>
        <v>0.12308823529411764</v>
      </c>
      <c r="V21" s="57">
        <v>0.14710000000000001</v>
      </c>
      <c r="W21" s="40">
        <f t="shared" si="4"/>
        <v>-2.4011764705882371E-2</v>
      </c>
      <c r="X21" s="71">
        <f>$AC$1225</f>
        <v>4.2583179774920614E-3</v>
      </c>
      <c r="Y21" s="72">
        <f>$AB$1225</f>
        <v>8.9071783490532727E-2</v>
      </c>
      <c r="Z21" s="40">
        <f t="shared" si="1"/>
        <v>-5.8028216509467281E-2</v>
      </c>
      <c r="AA21" s="29"/>
      <c r="AB21" s="29"/>
      <c r="AC21" s="29"/>
      <c r="AD21" s="29"/>
      <c r="AE21" s="85"/>
      <c r="AF21" s="85"/>
      <c r="AG21" s="1862"/>
      <c r="AH21" s="29"/>
      <c r="AI21" s="60">
        <f>AI1226</f>
        <v>0.34514907997083372</v>
      </c>
      <c r="AJ21" s="86">
        <f>AJ1226</f>
        <v>150054</v>
      </c>
      <c r="AK21" s="90">
        <f>AK1226</f>
        <v>-20561.541356460715</v>
      </c>
      <c r="AL21" s="48">
        <f t="shared" si="2"/>
        <v>7.0513335617143236E-2</v>
      </c>
      <c r="AM21" s="64">
        <f t="shared" si="3"/>
        <v>0.17736382864103217</v>
      </c>
      <c r="AN21" s="92" t="str">
        <f>B1195</f>
        <v>EU.MY6505 16x12</v>
      </c>
      <c r="AO21" s="93" t="str">
        <f>B1195</f>
        <v>EU.MY6505 16x12</v>
      </c>
    </row>
    <row r="22" spans="1:41" ht="16.5" thickBot="1">
      <c r="A22" s="1852"/>
      <c r="B22" s="2"/>
      <c r="C22" s="113">
        <v>0.45</v>
      </c>
      <c r="D22" s="114">
        <v>0.38</v>
      </c>
      <c r="E22" s="115">
        <v>0.41</v>
      </c>
      <c r="F22" s="115">
        <v>0.43</v>
      </c>
      <c r="G22" s="113">
        <v>0.45</v>
      </c>
      <c r="H22" s="2297" t="s">
        <v>1072</v>
      </c>
      <c r="I22" s="2297"/>
      <c r="J22" s="2298"/>
      <c r="K22" s="2299">
        <f>$S$1357</f>
        <v>0.10632653242766943</v>
      </c>
      <c r="L22" s="2300"/>
      <c r="M22" s="52">
        <f>$S$1359</f>
        <v>0.16640640767770673</v>
      </c>
      <c r="N22" s="34">
        <f>COUNTIF(S1240:S1356,"&lt;5%")</f>
        <v>34</v>
      </c>
      <c r="O22" s="116">
        <v>3.85E-2</v>
      </c>
      <c r="P22" s="2263">
        <f>COUNTIF(S1240:S1356,"&gt;-85%")</f>
        <v>77</v>
      </c>
      <c r="Q22" s="2264">
        <f t="shared" si="0"/>
        <v>0</v>
      </c>
      <c r="R22" s="111">
        <v>0.30099999999999999</v>
      </c>
      <c r="S22" s="69">
        <f>$P$1359</f>
        <v>0.12992195036061471</v>
      </c>
      <c r="T22" s="84">
        <f>COUNTIF(T1240:T1356,"&lt;5%")</f>
        <v>17</v>
      </c>
      <c r="U22" s="117">
        <f>$AH$1359</f>
        <v>0.2159740259740259</v>
      </c>
      <c r="V22" s="118">
        <v>0.315</v>
      </c>
      <c r="W22" s="119">
        <f t="shared" si="4"/>
        <v>-9.9025974025974101E-2</v>
      </c>
      <c r="X22" s="120">
        <f>$AC$1359</f>
        <v>9.5668072404395343E-2</v>
      </c>
      <c r="Y22" s="121">
        <f>$AB$1359</f>
        <v>0.18608512459537976</v>
      </c>
      <c r="Z22" s="119">
        <f t="shared" si="1"/>
        <v>-0.12891487540462024</v>
      </c>
      <c r="AA22" s="29"/>
      <c r="AB22" s="29"/>
      <c r="AC22" s="29"/>
      <c r="AD22" s="29"/>
      <c r="AE22" s="85"/>
      <c r="AF22" s="85"/>
      <c r="AG22" s="1862"/>
      <c r="AH22" s="29"/>
      <c r="AI22" s="122">
        <f>AI1359</f>
        <v>6.8514787716719192E-2</v>
      </c>
      <c r="AJ22" s="123">
        <f>AJ1359</f>
        <v>77118</v>
      </c>
      <c r="AK22" s="124">
        <f>AK1359</f>
        <v>9324.1104999994332</v>
      </c>
      <c r="AL22" s="48">
        <f t="shared" si="2"/>
        <v>3.6239269970296376E-2</v>
      </c>
      <c r="AM22" s="91">
        <f t="shared" si="3"/>
        <v>-8.0429764883959656E-2</v>
      </c>
      <c r="AN22" s="125" t="str">
        <f>B1240</f>
        <v>EU.MY6701 16x12</v>
      </c>
      <c r="AO22" s="126" t="str">
        <f>B1281</f>
        <v>EU.MY6709 20</v>
      </c>
    </row>
    <row r="23" spans="1:41" ht="19.5" thickBot="1">
      <c r="A23" s="1852"/>
      <c r="B23" s="2"/>
      <c r="C23" s="2301" t="s">
        <v>1073</v>
      </c>
      <c r="D23" s="2302" t="s">
        <v>1074</v>
      </c>
      <c r="E23" s="2303"/>
      <c r="F23" s="2303"/>
      <c r="G23" s="2303"/>
      <c r="H23" s="2303"/>
      <c r="I23" s="2303"/>
      <c r="J23" s="2304"/>
      <c r="K23" s="2305">
        <f>AVERAGE(K4:L22)</f>
        <v>-1.3419338403603002E-3</v>
      </c>
      <c r="L23" s="2306"/>
      <c r="M23" s="127">
        <f>AVERAGE(M4:M22)</f>
        <v>6.0996870810474703E-2</v>
      </c>
      <c r="N23" s="128">
        <f>SUM(N4:N22)</f>
        <v>342</v>
      </c>
      <c r="O23" s="129">
        <f>SUM(O4:O22)</f>
        <v>0.99999999999999989</v>
      </c>
      <c r="P23" s="2307">
        <f>SUM(P4:Q22)</f>
        <v>531</v>
      </c>
      <c r="Q23" s="2308"/>
      <c r="R23" s="130">
        <f>AVERAGE(R4:S22)</f>
        <v>0.28768252566972363</v>
      </c>
      <c r="S23" s="131">
        <f>AVERAGE(S4:S22)</f>
        <v>0.30368598563073174</v>
      </c>
      <c r="T23" s="132">
        <f>SUM(T4:T21)</f>
        <v>269</v>
      </c>
      <c r="U23" s="133">
        <f t="shared" ref="U23:Z23" si="5">AVERAGE(U4:U22)</f>
        <v>0.20821813842160591</v>
      </c>
      <c r="V23" s="134">
        <f t="shared" si="5"/>
        <v>0.2642842105263159</v>
      </c>
      <c r="W23" s="135">
        <f t="shared" si="5"/>
        <v>-5.6066072104709874E-2</v>
      </c>
      <c r="X23" s="134">
        <f t="shared" si="5"/>
        <v>0.17058028493509428</v>
      </c>
      <c r="Y23" s="136">
        <f t="shared" si="5"/>
        <v>0.16225685588365013</v>
      </c>
      <c r="Z23" s="137">
        <f t="shared" si="5"/>
        <v>-0.10202735464266567</v>
      </c>
      <c r="AA23" s="138"/>
      <c r="AB23" s="138"/>
      <c r="AC23" s="138"/>
      <c r="AD23" s="138"/>
      <c r="AE23" s="139"/>
      <c r="AF23" s="139"/>
      <c r="AG23" s="1863"/>
      <c r="AH23" s="138"/>
      <c r="AI23" s="140">
        <f>AVERAGE(AI4:AI22)</f>
        <v>3.5516096024905741E-2</v>
      </c>
      <c r="AJ23" s="141">
        <f>SUM(AJ4:AJ22)-AJ11</f>
        <v>2128023</v>
      </c>
      <c r="AK23" s="142">
        <f>SUM(AK4:AK22)-AK11</f>
        <v>-115928.60570277469</v>
      </c>
      <c r="AL23" s="143">
        <f>SUM(AL4:AL22)</f>
        <v>1.0633353116954096</v>
      </c>
      <c r="AM23" s="143">
        <f>SUM(AM4:AM22)</f>
        <v>1.1437603263300018</v>
      </c>
      <c r="AN23" s="144" t="s">
        <v>241</v>
      </c>
      <c r="AO23" s="145" t="s">
        <v>371</v>
      </c>
    </row>
    <row r="24" spans="1:41" ht="18.75">
      <c r="A24" s="146" t="s">
        <v>1075</v>
      </c>
      <c r="B24" s="146"/>
      <c r="C24" s="2301"/>
      <c r="D24" s="147" t="s">
        <v>1076</v>
      </c>
    </row>
    <row r="25" spans="1:41">
      <c r="A25" s="156" t="s">
        <v>1</v>
      </c>
      <c r="B25" s="156"/>
      <c r="C25" s="2301"/>
      <c r="E25" s="157"/>
      <c r="F25" s="158" t="s">
        <v>1077</v>
      </c>
      <c r="G25" s="158"/>
      <c r="H25" s="159"/>
      <c r="I25" s="160"/>
      <c r="J25" s="161"/>
    </row>
    <row r="26" spans="1:41">
      <c r="A26" s="2281" t="s">
        <v>1078</v>
      </c>
      <c r="B26" s="2281"/>
      <c r="C26" s="2281"/>
      <c r="D26" s="2281"/>
      <c r="E26" s="2281"/>
      <c r="F26" s="2281"/>
      <c r="G26" s="2281"/>
      <c r="H26" s="2281"/>
      <c r="I26" s="2281"/>
      <c r="J26" s="2281"/>
    </row>
    <row r="27" spans="1:41">
      <c r="A27" s="2281"/>
      <c r="B27" s="2281"/>
      <c r="C27" s="2281"/>
      <c r="D27" s="2281"/>
      <c r="E27" s="2281"/>
      <c r="F27" s="2281"/>
      <c r="G27" s="2281"/>
      <c r="H27" s="2281"/>
      <c r="I27" s="2281"/>
      <c r="J27" s="2281"/>
    </row>
    <row r="28" spans="1:41">
      <c r="A28" s="156" t="s">
        <v>2</v>
      </c>
      <c r="B28" s="156"/>
      <c r="E28" s="157"/>
    </row>
    <row r="29" spans="1:41" ht="15.75" thickBot="1">
      <c r="A29" s="148" t="s">
        <v>1079</v>
      </c>
      <c r="E29" s="157"/>
    </row>
    <row r="30" spans="1:41" ht="15.75" thickBot="1">
      <c r="A30" s="156" t="s">
        <v>5</v>
      </c>
      <c r="B30" s="156"/>
      <c r="E30" s="157"/>
      <c r="G30" s="2282" t="s">
        <v>1080</v>
      </c>
      <c r="H30" s="2283"/>
      <c r="I30" s="2284"/>
      <c r="R30" s="2288" t="s">
        <v>1081</v>
      </c>
    </row>
    <row r="31" spans="1:41" ht="15.75" thickBot="1">
      <c r="A31" s="162" t="s">
        <v>1082</v>
      </c>
      <c r="B31" s="162"/>
      <c r="E31" s="157"/>
      <c r="G31" s="2285"/>
      <c r="H31" s="2286"/>
      <c r="I31" s="2287"/>
      <c r="R31" s="2289"/>
      <c r="W31" s="163" t="s">
        <v>1083</v>
      </c>
      <c r="X31" s="164">
        <v>1.2</v>
      </c>
    </row>
    <row r="32" spans="1:41" ht="19.5" thickBot="1">
      <c r="A32" s="162" t="s">
        <v>599</v>
      </c>
      <c r="B32" s="162"/>
      <c r="E32" s="157"/>
      <c r="G32" s="165"/>
      <c r="H32" s="166"/>
      <c r="I32" s="167"/>
      <c r="M32" s="2291" t="s">
        <v>1084</v>
      </c>
      <c r="N32" s="2292"/>
      <c r="O32" s="2293"/>
      <c r="P32" s="168"/>
      <c r="R32" s="2290"/>
      <c r="W32" s="163" t="s">
        <v>1083</v>
      </c>
      <c r="X32" s="163">
        <v>0.47</v>
      </c>
      <c r="Y32" s="169"/>
    </row>
    <row r="33" spans="1:42" ht="19.5" thickBot="1">
      <c r="A33" s="149" t="s">
        <v>55</v>
      </c>
      <c r="B33" s="157"/>
      <c r="C33" s="157" t="s">
        <v>1085</v>
      </c>
      <c r="G33" s="170"/>
      <c r="H33" s="171">
        <v>7.0000000000000007E-2</v>
      </c>
      <c r="I33" s="172"/>
      <c r="M33" s="173" t="s">
        <v>1086</v>
      </c>
      <c r="N33" s="174">
        <v>0.45</v>
      </c>
      <c r="O33" s="175">
        <v>0.5</v>
      </c>
      <c r="P33" s="176"/>
      <c r="R33" s="177">
        <v>47.033000000000001</v>
      </c>
      <c r="S33" s="178"/>
      <c r="T33" s="179"/>
      <c r="U33" s="180"/>
      <c r="V33" s="180"/>
      <c r="W33" s="180"/>
      <c r="X33" s="181">
        <f>$C$4</f>
        <v>0.49</v>
      </c>
      <c r="Y33" s="182"/>
      <c r="Z33" s="183"/>
      <c r="AA33" s="184">
        <v>0.15659999999999999</v>
      </c>
      <c r="AB33" s="185"/>
      <c r="AC33" s="185"/>
      <c r="AD33" s="185"/>
      <c r="AE33" s="186"/>
      <c r="AF33" s="186"/>
      <c r="AG33" s="1865"/>
      <c r="AH33" s="185"/>
    </row>
    <row r="34" spans="1:42" ht="15.75" thickBot="1">
      <c r="A34" s="187"/>
      <c r="C34" s="148" t="s">
        <v>31</v>
      </c>
      <c r="K34" s="2294" t="s">
        <v>1087</v>
      </c>
      <c r="L34" s="2295"/>
      <c r="M34" s="2295"/>
      <c r="N34" s="2295"/>
      <c r="O34" s="2296"/>
      <c r="P34" s="1849"/>
      <c r="Q34" s="2294" t="s">
        <v>1088</v>
      </c>
      <c r="R34" s="2295"/>
      <c r="S34" s="2296"/>
      <c r="T34" s="1851"/>
      <c r="U34" s="2312" t="s">
        <v>1089</v>
      </c>
      <c r="V34" s="2312"/>
      <c r="W34" s="2312"/>
      <c r="X34" s="2312"/>
      <c r="Y34" s="2312"/>
      <c r="Z34" s="2312"/>
      <c r="AA34" s="2312"/>
      <c r="AB34" s="1851"/>
      <c r="AC34" s="1851"/>
      <c r="AD34" s="1851"/>
      <c r="AE34" s="188"/>
      <c r="AF34" s="188"/>
      <c r="AG34" s="1866"/>
      <c r="AH34" s="1851"/>
    </row>
    <row r="35" spans="1:42" ht="66.75" customHeight="1" thickBot="1">
      <c r="A35" s="187"/>
      <c r="B35" s="189" t="s">
        <v>10</v>
      </c>
      <c r="C35" s="190" t="s">
        <v>11</v>
      </c>
      <c r="D35" s="190" t="s">
        <v>12</v>
      </c>
      <c r="E35" s="190" t="s">
        <v>13</v>
      </c>
      <c r="F35" s="190" t="s">
        <v>14</v>
      </c>
      <c r="G35" s="191" t="s">
        <v>15</v>
      </c>
      <c r="H35" s="192" t="s">
        <v>1090</v>
      </c>
      <c r="I35" s="193">
        <f>$C$4</f>
        <v>0.49</v>
      </c>
      <c r="J35" s="194">
        <f>$C$4</f>
        <v>0.49</v>
      </c>
      <c r="K35" s="195" t="s">
        <v>15</v>
      </c>
      <c r="L35" s="195" t="s">
        <v>12</v>
      </c>
      <c r="M35" s="196" t="s">
        <v>1091</v>
      </c>
      <c r="N35" s="197" t="s">
        <v>993</v>
      </c>
      <c r="O35" s="198" t="s">
        <v>1092</v>
      </c>
      <c r="P35" s="199" t="s">
        <v>1092</v>
      </c>
      <c r="Q35" s="200" t="s">
        <v>1093</v>
      </c>
      <c r="R35" s="201" t="s">
        <v>1094</v>
      </c>
      <c r="S35" s="202" t="s">
        <v>1095</v>
      </c>
      <c r="T35" s="203" t="s">
        <v>1095</v>
      </c>
      <c r="U35" s="204" t="s">
        <v>1096</v>
      </c>
      <c r="V35" s="205" t="s">
        <v>1093</v>
      </c>
      <c r="W35" s="206" t="s">
        <v>1094</v>
      </c>
      <c r="X35" s="207" t="s">
        <v>1097</v>
      </c>
      <c r="Y35" s="208">
        <f>$X$33</f>
        <v>0.49</v>
      </c>
      <c r="Z35" s="207" t="s">
        <v>1098</v>
      </c>
      <c r="AA35" s="209" t="s">
        <v>1099</v>
      </c>
      <c r="AB35" s="209" t="s">
        <v>1100</v>
      </c>
      <c r="AC35" s="210" t="s">
        <v>1092</v>
      </c>
      <c r="AD35" s="211" t="s">
        <v>1101</v>
      </c>
      <c r="AE35" s="212" t="s">
        <v>1102</v>
      </c>
      <c r="AF35" s="208" t="s">
        <v>1103</v>
      </c>
      <c r="AG35" s="1867" t="s">
        <v>1104</v>
      </c>
      <c r="AH35" s="213" t="s">
        <v>1105</v>
      </c>
      <c r="AI35" s="214" t="s">
        <v>1106</v>
      </c>
      <c r="AJ35" s="215" t="s">
        <v>1107</v>
      </c>
      <c r="AK35" s="216" t="s">
        <v>1108</v>
      </c>
      <c r="AL35" s="217" t="s">
        <v>1109</v>
      </c>
      <c r="AM35" s="218" t="s">
        <v>1110</v>
      </c>
      <c r="AN35" s="219" t="s">
        <v>1111</v>
      </c>
      <c r="AO35" s="220" t="s">
        <v>1112</v>
      </c>
      <c r="AP35" s="221" t="s">
        <v>1113</v>
      </c>
    </row>
    <row r="36" spans="1:42" ht="15.75">
      <c r="A36" s="187"/>
      <c r="B36" s="222" t="s">
        <v>298</v>
      </c>
      <c r="C36" s="223" t="s">
        <v>190</v>
      </c>
      <c r="D36" s="224">
        <v>182</v>
      </c>
      <c r="E36" s="223">
        <v>20</v>
      </c>
      <c r="F36" s="224">
        <v>100</v>
      </c>
      <c r="G36" s="225">
        <v>146</v>
      </c>
      <c r="H36" s="226">
        <f t="shared" ref="H36:H41" si="6">G36*(1+$H$33)</f>
        <v>156.22</v>
      </c>
      <c r="I36" s="226">
        <f t="shared" ref="I36:I41" si="7">H36-H36*$J$35</f>
        <v>79.672200000000004</v>
      </c>
      <c r="J36" s="227">
        <f t="shared" ref="J36:J41" si="8">G36-G36*$J$35</f>
        <v>74.460000000000008</v>
      </c>
      <c r="K36" s="228">
        <v>171</v>
      </c>
      <c r="L36" s="229">
        <v>170</v>
      </c>
      <c r="M36" s="230">
        <f t="shared" ref="M36:M41" si="9">L36/D36*100%</f>
        <v>0.93406593406593408</v>
      </c>
      <c r="N36" s="231">
        <f t="shared" ref="N36:N41" si="10">K36-(K36*$N$33)</f>
        <v>94.05</v>
      </c>
      <c r="O36" s="232">
        <f t="shared" ref="O36:O41" si="11">((N36/J36)-1)*100%</f>
        <v>0.2630942788074131</v>
      </c>
      <c r="P36" s="233">
        <f t="shared" ref="P36:P41" si="12">((N36/I36)-1)*100%</f>
        <v>0.18046194281066663</v>
      </c>
      <c r="Q36" s="234">
        <v>1.64</v>
      </c>
      <c r="R36" s="235">
        <f t="shared" ref="R36:R41" si="13">Q36*$R$33</f>
        <v>77.134119999999996</v>
      </c>
      <c r="S36" s="236">
        <f t="shared" ref="S36:S41" si="14">((J36-R36)/J36)*100%</f>
        <v>-3.5913510609723177E-2</v>
      </c>
      <c r="T36" s="237">
        <f t="shared" ref="T36:T41" si="15">((I36-R36)/I36)*100%</f>
        <v>3.1856532140445572E-2</v>
      </c>
      <c r="U36" s="238">
        <v>1.3879999999999999</v>
      </c>
      <c r="V36" s="239">
        <f t="shared" ref="V36:V41" si="16">U36*$X$31</f>
        <v>1.6655999999999997</v>
      </c>
      <c r="W36" s="239">
        <f t="shared" ref="W36:W41" si="17">V36*$R$33</f>
        <v>78.338164799999987</v>
      </c>
      <c r="X36" s="240">
        <f t="shared" ref="X36:X41" si="18">(ROUND(W36/(1-$AA$33),0))</f>
        <v>93</v>
      </c>
      <c r="Y36" s="239">
        <f t="shared" ref="Y36:Y41" si="19">Z36*(1-$X$33)</f>
        <v>89.25</v>
      </c>
      <c r="Z36" s="240">
        <f t="shared" ref="Z36:Z41" si="20">ROUND(X36/(1-$X$32),0)</f>
        <v>175</v>
      </c>
      <c r="AA36" s="241">
        <f t="shared" ref="AA36:AA41" si="21">((X36-W36)/X36)*100%</f>
        <v>0.15765414193548402</v>
      </c>
      <c r="AB36" s="241">
        <f t="shared" ref="AB36:AB41" si="22">((Y36-W36)/Y36)*100%</f>
        <v>0.12226145882352955</v>
      </c>
      <c r="AC36" s="242">
        <f t="shared" ref="AC36:AC41" si="23">((N36/Y36)-1)*100%</f>
        <v>5.3781512605042048E-2</v>
      </c>
      <c r="AD36" s="243">
        <f t="shared" ref="AD36:AD41" si="24">((N36*0.96-W36)/(N36*0.96))*100%</f>
        <v>0.13235241892610325</v>
      </c>
      <c r="AE36" s="238">
        <f t="shared" ref="AE36:AE41" si="25">N36/$R$33</f>
        <v>1.9996598133225607</v>
      </c>
      <c r="AF36" s="239">
        <f t="shared" ref="AF36:AF41" si="26">(V36/(1-$AA$33))</f>
        <v>1.9748636471425181</v>
      </c>
      <c r="AG36" s="1868">
        <v>3.7</v>
      </c>
      <c r="AH36" s="244">
        <f t="shared" ref="AH36:AH41" si="27">((AF36-V36)/AF36)*100%</f>
        <v>0.15659999999999999</v>
      </c>
      <c r="AI36" s="245">
        <f t="shared" ref="AI36:AI41" si="28">AJ36/$AJ$42</f>
        <v>0.40355022227748938</v>
      </c>
      <c r="AJ36" s="246">
        <f>VLOOKUP($B36,[1]Статистика!$B:$D,3,FALSE)</f>
        <v>12981</v>
      </c>
      <c r="AK36" s="247">
        <f t="shared" ref="AK36:AK41" si="29">AJ36*Q36*S36</f>
        <v>-764.5569812086992</v>
      </c>
      <c r="AL36" s="248">
        <f t="shared" ref="AL36:AL41" si="30">AK36/$AK$42</f>
        <v>8.2134995544339132E-2</v>
      </c>
      <c r="AM36" s="248">
        <f t="shared" ref="AM36:AM41" si="31">AJ36/$AJ$111</f>
        <v>4.4004434003518729E-2</v>
      </c>
      <c r="AN36" s="248">
        <f t="shared" ref="AN36:AN41" si="32">AK36/$AK$111</f>
        <v>7.9655809817098355E-2</v>
      </c>
      <c r="AO36" s="77">
        <f t="shared" ref="AO36:AO41" si="33">AJ36/$AJ$23</f>
        <v>6.1000280542080603E-3</v>
      </c>
      <c r="AP36" s="77">
        <f t="shared" ref="AP36:AP41" si="34">AK36/$AK$23</f>
        <v>6.5950675122317974E-3</v>
      </c>
    </row>
    <row r="37" spans="1:42" ht="15.75">
      <c r="A37" s="187"/>
      <c r="B37" s="249" t="s">
        <v>299</v>
      </c>
      <c r="C37" s="250" t="s">
        <v>192</v>
      </c>
      <c r="D37" s="251">
        <v>280</v>
      </c>
      <c r="E37" s="250">
        <v>16</v>
      </c>
      <c r="F37" s="251">
        <v>80</v>
      </c>
      <c r="G37" s="252">
        <v>226</v>
      </c>
      <c r="H37" s="226">
        <f t="shared" si="6"/>
        <v>241.82000000000002</v>
      </c>
      <c r="I37" s="226">
        <f t="shared" si="7"/>
        <v>123.32820000000001</v>
      </c>
      <c r="J37" s="253">
        <f t="shared" si="8"/>
        <v>115.26</v>
      </c>
      <c r="K37" s="254">
        <v>264</v>
      </c>
      <c r="L37" s="255">
        <v>254</v>
      </c>
      <c r="M37" s="256">
        <f t="shared" si="9"/>
        <v>0.90714285714285714</v>
      </c>
      <c r="N37" s="231">
        <f t="shared" si="10"/>
        <v>145.19999999999999</v>
      </c>
      <c r="O37" s="232">
        <f t="shared" si="11"/>
        <v>0.25976054138469529</v>
      </c>
      <c r="P37" s="233">
        <f t="shared" si="12"/>
        <v>0.17734630035952836</v>
      </c>
      <c r="Q37" s="257">
        <v>2.63</v>
      </c>
      <c r="R37" s="258">
        <f t="shared" si="13"/>
        <v>123.69678999999999</v>
      </c>
      <c r="S37" s="259">
        <f t="shared" si="14"/>
        <v>-7.3197900399097585E-2</v>
      </c>
      <c r="T37" s="260">
        <f t="shared" si="15"/>
        <v>-2.9886919617734087E-3</v>
      </c>
      <c r="U37" s="261">
        <v>2.218</v>
      </c>
      <c r="V37" s="239">
        <f t="shared" si="16"/>
        <v>2.6616</v>
      </c>
      <c r="W37" s="262">
        <f t="shared" si="17"/>
        <v>125.18303280000001</v>
      </c>
      <c r="X37" s="263">
        <f t="shared" si="18"/>
        <v>148</v>
      </c>
      <c r="Y37" s="239">
        <f t="shared" si="19"/>
        <v>142.29</v>
      </c>
      <c r="Z37" s="263">
        <f t="shared" si="20"/>
        <v>279</v>
      </c>
      <c r="AA37" s="264">
        <f t="shared" si="21"/>
        <v>0.15416869729729726</v>
      </c>
      <c r="AB37" s="241">
        <f t="shared" si="22"/>
        <v>0.12022606788952131</v>
      </c>
      <c r="AC37" s="265">
        <f t="shared" si="23"/>
        <v>2.0451191229179821E-2</v>
      </c>
      <c r="AD37" s="266">
        <f t="shared" si="24"/>
        <v>0.10193531336088146</v>
      </c>
      <c r="AE37" s="261">
        <f t="shared" si="25"/>
        <v>3.0871940977611461</v>
      </c>
      <c r="AF37" s="262">
        <f t="shared" si="26"/>
        <v>3.1557979606355229</v>
      </c>
      <c r="AG37" s="1869">
        <v>5.6</v>
      </c>
      <c r="AH37" s="267">
        <f t="shared" si="27"/>
        <v>0.15660000000000002</v>
      </c>
      <c r="AI37" s="268">
        <f t="shared" si="28"/>
        <v>0.20517922094071564</v>
      </c>
      <c r="AJ37" s="269">
        <f>VLOOKUP($B37,[1]Статистика!$B:$D,3,FALSE)</f>
        <v>6600</v>
      </c>
      <c r="AK37" s="270">
        <f t="shared" si="29"/>
        <v>-1270.5691551275359</v>
      </c>
      <c r="AL37" s="77">
        <f t="shared" si="30"/>
        <v>0.13649498266328497</v>
      </c>
      <c r="AM37" s="77">
        <f t="shared" si="31"/>
        <v>2.2373412250460179E-2</v>
      </c>
      <c r="AN37" s="77">
        <f t="shared" si="32"/>
        <v>0.13237497984821064</v>
      </c>
      <c r="AO37" s="77">
        <f t="shared" si="33"/>
        <v>3.1014702378686695E-3</v>
      </c>
      <c r="AP37" s="77">
        <f t="shared" si="34"/>
        <v>1.0959927857539353E-2</v>
      </c>
    </row>
    <row r="38" spans="1:42" ht="15.75">
      <c r="A38" s="271"/>
      <c r="B38" s="249" t="s">
        <v>300</v>
      </c>
      <c r="C38" s="250" t="s">
        <v>194</v>
      </c>
      <c r="D38" s="251">
        <v>395</v>
      </c>
      <c r="E38" s="250">
        <v>14</v>
      </c>
      <c r="F38" s="251">
        <v>56</v>
      </c>
      <c r="G38" s="252">
        <v>358</v>
      </c>
      <c r="H38" s="226">
        <f t="shared" si="6"/>
        <v>383.06</v>
      </c>
      <c r="I38" s="226">
        <f t="shared" si="7"/>
        <v>195.36060000000001</v>
      </c>
      <c r="J38" s="253">
        <f t="shared" si="8"/>
        <v>182.58</v>
      </c>
      <c r="K38" s="254">
        <v>407</v>
      </c>
      <c r="L38" s="255">
        <v>399</v>
      </c>
      <c r="M38" s="272">
        <f t="shared" si="9"/>
        <v>1.0101265822784811</v>
      </c>
      <c r="N38" s="231">
        <f t="shared" si="10"/>
        <v>223.85</v>
      </c>
      <c r="O38" s="232">
        <f t="shared" si="11"/>
        <v>0.22603790119399703</v>
      </c>
      <c r="P38" s="233">
        <f t="shared" si="12"/>
        <v>0.14582981419999719</v>
      </c>
      <c r="Q38" s="273">
        <v>3.91</v>
      </c>
      <c r="R38" s="258">
        <f t="shared" si="13"/>
        <v>183.89903000000001</v>
      </c>
      <c r="S38" s="259">
        <f t="shared" si="14"/>
        <v>-7.2243947858472877E-3</v>
      </c>
      <c r="T38" s="260">
        <f t="shared" si="15"/>
        <v>5.866878991976885E-2</v>
      </c>
      <c r="U38" s="261">
        <v>3.302</v>
      </c>
      <c r="V38" s="239">
        <f t="shared" si="16"/>
        <v>3.9623999999999997</v>
      </c>
      <c r="W38" s="262">
        <f t="shared" si="17"/>
        <v>186.3635592</v>
      </c>
      <c r="X38" s="263">
        <f t="shared" si="18"/>
        <v>221</v>
      </c>
      <c r="Y38" s="239">
        <f t="shared" si="19"/>
        <v>212.67000000000002</v>
      </c>
      <c r="Z38" s="263">
        <f t="shared" si="20"/>
        <v>417</v>
      </c>
      <c r="AA38" s="264">
        <f t="shared" si="21"/>
        <v>0.15672597647058825</v>
      </c>
      <c r="AB38" s="241">
        <f t="shared" si="22"/>
        <v>0.12369605868246587</v>
      </c>
      <c r="AC38" s="242">
        <f t="shared" si="23"/>
        <v>5.2569708938731363E-2</v>
      </c>
      <c r="AD38" s="266">
        <f t="shared" si="24"/>
        <v>0.13277325217779759</v>
      </c>
      <c r="AE38" s="261">
        <f t="shared" si="25"/>
        <v>4.7594242340484341</v>
      </c>
      <c r="AF38" s="262">
        <f t="shared" si="26"/>
        <v>4.6981266303059037</v>
      </c>
      <c r="AG38" s="1869">
        <v>8.8000000000000007</v>
      </c>
      <c r="AH38" s="267">
        <f t="shared" si="27"/>
        <v>0.15659999999999991</v>
      </c>
      <c r="AI38" s="268">
        <f t="shared" si="28"/>
        <v>0.16128330276370192</v>
      </c>
      <c r="AJ38" s="269">
        <f>VLOOKUP($B38,[1]Статистика!$B:$D,3,FALSE)</f>
        <v>5188</v>
      </c>
      <c r="AK38" s="270">
        <f t="shared" si="29"/>
        <v>-146.54742618249512</v>
      </c>
      <c r="AL38" s="77">
        <f t="shared" si="30"/>
        <v>1.5743329133565239E-2</v>
      </c>
      <c r="AM38" s="77">
        <f t="shared" si="31"/>
        <v>1.7586857993240518E-2</v>
      </c>
      <c r="AN38" s="77">
        <f t="shared" si="32"/>
        <v>1.5268128074278409E-2</v>
      </c>
      <c r="AO38" s="77">
        <f t="shared" si="33"/>
        <v>2.4379435748579786E-3</v>
      </c>
      <c r="AP38" s="77">
        <f t="shared" si="34"/>
        <v>1.26411790510293E-3</v>
      </c>
    </row>
    <row r="39" spans="1:42" ht="15.75">
      <c r="A39" s="187"/>
      <c r="B39" s="249" t="s">
        <v>301</v>
      </c>
      <c r="C39" s="250" t="s">
        <v>209</v>
      </c>
      <c r="D39" s="251">
        <v>655</v>
      </c>
      <c r="E39" s="250">
        <v>4</v>
      </c>
      <c r="F39" s="251">
        <v>24</v>
      </c>
      <c r="G39" s="252">
        <v>569</v>
      </c>
      <c r="H39" s="226">
        <f t="shared" si="6"/>
        <v>608.83000000000004</v>
      </c>
      <c r="I39" s="226">
        <f t="shared" si="7"/>
        <v>310.50330000000002</v>
      </c>
      <c r="J39" s="253">
        <f t="shared" si="8"/>
        <v>290.19</v>
      </c>
      <c r="K39" s="254">
        <v>646</v>
      </c>
      <c r="L39" s="255">
        <v>597</v>
      </c>
      <c r="M39" s="256">
        <f t="shared" si="9"/>
        <v>0.9114503816793893</v>
      </c>
      <c r="N39" s="231">
        <f t="shared" si="10"/>
        <v>355.3</v>
      </c>
      <c r="O39" s="232">
        <f t="shared" si="11"/>
        <v>0.22437024018746343</v>
      </c>
      <c r="P39" s="233">
        <f t="shared" si="12"/>
        <v>0.14427125251164807</v>
      </c>
      <c r="Q39" s="257">
        <v>6.78</v>
      </c>
      <c r="R39" s="258">
        <f t="shared" si="13"/>
        <v>318.88374000000005</v>
      </c>
      <c r="S39" s="259">
        <f t="shared" si="14"/>
        <v>-9.8879148144319404E-2</v>
      </c>
      <c r="T39" s="260">
        <f t="shared" si="15"/>
        <v>-2.6989858078803095E-2</v>
      </c>
      <c r="U39" s="261">
        <v>5.72</v>
      </c>
      <c r="V39" s="239">
        <f t="shared" si="16"/>
        <v>6.8639999999999999</v>
      </c>
      <c r="W39" s="262">
        <f t="shared" si="17"/>
        <v>322.83451200000002</v>
      </c>
      <c r="X39" s="263">
        <f t="shared" si="18"/>
        <v>383</v>
      </c>
      <c r="Y39" s="239">
        <f t="shared" si="19"/>
        <v>368.73</v>
      </c>
      <c r="Z39" s="263">
        <f t="shared" si="20"/>
        <v>723</v>
      </c>
      <c r="AA39" s="264">
        <f t="shared" si="21"/>
        <v>0.15709004699738899</v>
      </c>
      <c r="AB39" s="241">
        <f t="shared" si="22"/>
        <v>0.1244690912049467</v>
      </c>
      <c r="AC39" s="265">
        <f t="shared" si="23"/>
        <v>-3.6422314430613167E-2</v>
      </c>
      <c r="AD39" s="266">
        <f t="shared" si="24"/>
        <v>5.3515479876161003E-2</v>
      </c>
      <c r="AE39" s="261">
        <f t="shared" si="25"/>
        <v>7.5542704058852292</v>
      </c>
      <c r="AF39" s="262">
        <f t="shared" si="26"/>
        <v>8.1384870761204642</v>
      </c>
      <c r="AG39" s="1869">
        <v>14.39</v>
      </c>
      <c r="AH39" s="267">
        <f t="shared" si="27"/>
        <v>0.15659999999999996</v>
      </c>
      <c r="AI39" s="268">
        <f t="shared" si="28"/>
        <v>0.11182267541269002</v>
      </c>
      <c r="AJ39" s="269">
        <f>VLOOKUP($B39,[1]Статистика!$B:$D,3,FALSE)</f>
        <v>3597</v>
      </c>
      <c r="AK39" s="270">
        <f t="shared" si="29"/>
        <v>-2411.4310460332927</v>
      </c>
      <c r="AL39" s="77">
        <f t="shared" si="30"/>
        <v>0.25905574481617455</v>
      </c>
      <c r="AM39" s="77">
        <f t="shared" si="31"/>
        <v>1.2193509676500798E-2</v>
      </c>
      <c r="AN39" s="77">
        <f t="shared" si="32"/>
        <v>0.25123633360355346</v>
      </c>
      <c r="AO39" s="77">
        <f t="shared" si="33"/>
        <v>1.690301279638425E-3</v>
      </c>
      <c r="AP39" s="77">
        <f t="shared" si="34"/>
        <v>2.0801001024853837E-2</v>
      </c>
    </row>
    <row r="40" spans="1:42" ht="15.75">
      <c r="A40" s="187"/>
      <c r="B40" s="249" t="s">
        <v>302</v>
      </c>
      <c r="C40" s="250" t="s">
        <v>303</v>
      </c>
      <c r="D40" s="251">
        <v>1020</v>
      </c>
      <c r="E40" s="250">
        <v>4</v>
      </c>
      <c r="F40" s="251">
        <v>24</v>
      </c>
      <c r="G40" s="252">
        <v>879</v>
      </c>
      <c r="H40" s="226">
        <f t="shared" si="6"/>
        <v>940.53000000000009</v>
      </c>
      <c r="I40" s="226">
        <f t="shared" si="7"/>
        <v>479.67030000000005</v>
      </c>
      <c r="J40" s="253">
        <f t="shared" si="8"/>
        <v>448.29</v>
      </c>
      <c r="K40" s="254">
        <v>998</v>
      </c>
      <c r="L40" s="255">
        <v>910</v>
      </c>
      <c r="M40" s="256">
        <f t="shared" si="9"/>
        <v>0.89215686274509809</v>
      </c>
      <c r="N40" s="231">
        <f t="shared" si="10"/>
        <v>548.9</v>
      </c>
      <c r="O40" s="232">
        <f t="shared" si="11"/>
        <v>0.22443061411140097</v>
      </c>
      <c r="P40" s="233">
        <f t="shared" si="12"/>
        <v>0.1443276767396271</v>
      </c>
      <c r="Q40" s="257">
        <v>10.35</v>
      </c>
      <c r="R40" s="258">
        <f t="shared" si="13"/>
        <v>486.79154999999997</v>
      </c>
      <c r="S40" s="259">
        <f t="shared" si="14"/>
        <v>-8.58853643846616E-2</v>
      </c>
      <c r="T40" s="260">
        <f t="shared" si="15"/>
        <v>-1.4846134938936009E-2</v>
      </c>
      <c r="U40" s="261">
        <v>8.5939999999999994</v>
      </c>
      <c r="V40" s="239">
        <f t="shared" si="16"/>
        <v>10.312799999999999</v>
      </c>
      <c r="W40" s="262">
        <f t="shared" si="17"/>
        <v>485.04192239999998</v>
      </c>
      <c r="X40" s="263">
        <f t="shared" si="18"/>
        <v>575</v>
      </c>
      <c r="Y40" s="239">
        <f t="shared" si="19"/>
        <v>553.35</v>
      </c>
      <c r="Z40" s="263">
        <f t="shared" si="20"/>
        <v>1085</v>
      </c>
      <c r="AA40" s="264">
        <f t="shared" si="21"/>
        <v>0.15644883060869569</v>
      </c>
      <c r="AB40" s="241">
        <f t="shared" si="22"/>
        <v>0.12344461480075909</v>
      </c>
      <c r="AC40" s="265">
        <f t="shared" si="23"/>
        <v>-8.0419264479986152E-3</v>
      </c>
      <c r="AD40" s="266">
        <f t="shared" si="24"/>
        <v>7.9519033521588608E-2</v>
      </c>
      <c r="AE40" s="261">
        <f t="shared" si="25"/>
        <v>11.67052920290009</v>
      </c>
      <c r="AF40" s="262">
        <f t="shared" si="26"/>
        <v>12.227649988143229</v>
      </c>
      <c r="AG40" s="1869">
        <v>21.62</v>
      </c>
      <c r="AH40" s="267">
        <f t="shared" si="27"/>
        <v>0.15660000000000002</v>
      </c>
      <c r="AI40" s="268">
        <f t="shared" si="28"/>
        <v>4.9678241676252059E-2</v>
      </c>
      <c r="AJ40" s="269">
        <f>VLOOKUP($B40,[1]Статистика!$B:$D,3,FALSE)</f>
        <v>1598</v>
      </c>
      <c r="AK40" s="270">
        <f t="shared" si="29"/>
        <v>-1420.4838071672336</v>
      </c>
      <c r="AL40" s="77">
        <f t="shared" si="30"/>
        <v>0.1526000468768712</v>
      </c>
      <c r="AM40" s="77">
        <f t="shared" si="31"/>
        <v>5.4170776933689952E-3</v>
      </c>
      <c r="AN40" s="77">
        <f t="shared" si="32"/>
        <v>0.14799392428946348</v>
      </c>
      <c r="AO40" s="77">
        <f t="shared" si="33"/>
        <v>7.5093173335062636E-4</v>
      </c>
      <c r="AP40" s="77">
        <f t="shared" si="34"/>
        <v>1.2253091448448562E-2</v>
      </c>
    </row>
    <row r="41" spans="1:42" ht="16.5" thickBot="1">
      <c r="A41" s="187"/>
      <c r="B41" s="274" t="s">
        <v>304</v>
      </c>
      <c r="C41" s="275" t="s">
        <v>305</v>
      </c>
      <c r="D41" s="276">
        <v>1485</v>
      </c>
      <c r="E41" s="275">
        <v>4</v>
      </c>
      <c r="F41" s="276">
        <v>12</v>
      </c>
      <c r="G41" s="277">
        <v>1289</v>
      </c>
      <c r="H41" s="226">
        <f t="shared" si="6"/>
        <v>1379.23</v>
      </c>
      <c r="I41" s="226">
        <f t="shared" si="7"/>
        <v>703.40730000000008</v>
      </c>
      <c r="J41" s="278">
        <f t="shared" si="8"/>
        <v>657.39</v>
      </c>
      <c r="K41" s="279">
        <v>1464</v>
      </c>
      <c r="L41" s="280">
        <v>1303</v>
      </c>
      <c r="M41" s="281">
        <f t="shared" si="9"/>
        <v>0.87744107744107747</v>
      </c>
      <c r="N41" s="282">
        <f t="shared" si="10"/>
        <v>805.19999999999993</v>
      </c>
      <c r="O41" s="283">
        <f t="shared" si="11"/>
        <v>0.22484370008670651</v>
      </c>
      <c r="P41" s="233">
        <f t="shared" si="12"/>
        <v>0.14471373839879087</v>
      </c>
      <c r="Q41" s="284">
        <v>15.34</v>
      </c>
      <c r="R41" s="285">
        <f t="shared" si="13"/>
        <v>721.48622</v>
      </c>
      <c r="S41" s="286">
        <f t="shared" si="14"/>
        <v>-9.7501057211092382E-2</v>
      </c>
      <c r="T41" s="287">
        <f t="shared" si="15"/>
        <v>-2.5701922627189004E-2</v>
      </c>
      <c r="U41" s="288">
        <v>12.941000000000001</v>
      </c>
      <c r="V41" s="239">
        <f t="shared" si="16"/>
        <v>15.529199999999999</v>
      </c>
      <c r="W41" s="289">
        <f t="shared" si="17"/>
        <v>730.38486360000002</v>
      </c>
      <c r="X41" s="290">
        <f t="shared" si="18"/>
        <v>866</v>
      </c>
      <c r="Y41" s="291">
        <f t="shared" si="19"/>
        <v>833.34</v>
      </c>
      <c r="Z41" s="290">
        <f t="shared" si="20"/>
        <v>1634</v>
      </c>
      <c r="AA41" s="292">
        <f t="shared" si="21"/>
        <v>0.156599464665127</v>
      </c>
      <c r="AB41" s="241">
        <f t="shared" si="22"/>
        <v>0.12354517531859746</v>
      </c>
      <c r="AC41" s="293">
        <f t="shared" si="23"/>
        <v>-3.3767729858161233E-2</v>
      </c>
      <c r="AD41" s="294">
        <f t="shared" si="24"/>
        <v>5.5119763723298493E-2</v>
      </c>
      <c r="AE41" s="288">
        <f t="shared" si="25"/>
        <v>17.119894542129991</v>
      </c>
      <c r="AF41" s="289">
        <f t="shared" si="26"/>
        <v>18.412615603509604</v>
      </c>
      <c r="AG41" s="1870">
        <v>32.56</v>
      </c>
      <c r="AH41" s="295">
        <f t="shared" si="27"/>
        <v>0.15660000000000002</v>
      </c>
      <c r="AI41" s="296">
        <f t="shared" si="28"/>
        <v>6.8486336929150987E-2</v>
      </c>
      <c r="AJ41" s="246">
        <f>VLOOKUP($B41,[1]Статистика!$B:$D,3,FALSE)</f>
        <v>2203</v>
      </c>
      <c r="AK41" s="297">
        <f t="shared" si="29"/>
        <v>-3294.9526774127999</v>
      </c>
      <c r="AL41" s="92">
        <f t="shared" si="30"/>
        <v>0.35397090096576489</v>
      </c>
      <c r="AM41" s="92">
        <f t="shared" si="31"/>
        <v>7.4679738163278449E-3</v>
      </c>
      <c r="AN41" s="92">
        <f t="shared" si="32"/>
        <v>0.34328654407602532</v>
      </c>
      <c r="AO41" s="77">
        <f t="shared" si="33"/>
        <v>1.035233171821921E-3</v>
      </c>
      <c r="AP41" s="77">
        <f t="shared" si="34"/>
        <v>2.8422257452665429E-2</v>
      </c>
    </row>
    <row r="42" spans="1:42" ht="15.75" thickBot="1">
      <c r="A42" s="149" t="s">
        <v>56</v>
      </c>
      <c r="B42" s="157"/>
      <c r="C42" s="157" t="s">
        <v>1114</v>
      </c>
      <c r="O42" s="298">
        <f>AVERAGE(O36:O41)</f>
        <v>0.23708954596194606</v>
      </c>
      <c r="P42" s="298">
        <f>AVERAGE(P36:P41)</f>
        <v>0.15615845417004304</v>
      </c>
      <c r="S42" s="299" t="s">
        <v>973</v>
      </c>
      <c r="T42" s="300" t="s">
        <v>973</v>
      </c>
      <c r="U42" s="301"/>
      <c r="V42" s="301"/>
      <c r="W42" s="301"/>
      <c r="X42" s="301"/>
      <c r="Y42" s="301"/>
      <c r="Z42" s="301"/>
      <c r="AA42" s="302"/>
      <c r="AB42" s="302"/>
      <c r="AC42" s="302"/>
      <c r="AD42" s="302">
        <f>AVERAGE(AD36:AD41)</f>
        <v>9.2535876930971747E-2</v>
      </c>
      <c r="AE42" s="301"/>
      <c r="AF42" s="301"/>
      <c r="AG42" s="1871"/>
      <c r="AH42" s="302"/>
      <c r="AI42" s="303">
        <f>S36*AI36+S37*AI37+S38*AI38+S39*AI39+S40*AI40+S41*AI41</f>
        <v>-5.2677822650719026E-2</v>
      </c>
      <c r="AJ42" s="304">
        <v>32167</v>
      </c>
      <c r="AK42" s="305">
        <f>SUM(AK36:AK41)</f>
        <v>-9308.5410931320566</v>
      </c>
      <c r="AL42" s="306"/>
      <c r="AM42" s="307">
        <f>SUM(AM36:AM41)</f>
        <v>0.10904326543341707</v>
      </c>
      <c r="AN42" s="307">
        <f>SUM(AN36:AN41)</f>
        <v>0.96981571970862968</v>
      </c>
      <c r="AO42" s="308">
        <f>SUM(AO36:AO41)</f>
        <v>1.5115908051745681E-2</v>
      </c>
      <c r="AP42" s="308">
        <f>SUM(AP36:AP41)</f>
        <v>8.029546320084191E-2</v>
      </c>
    </row>
    <row r="43" spans="1:42" ht="15.75" thickBot="1">
      <c r="A43" s="187"/>
      <c r="C43" s="148" t="s">
        <v>25</v>
      </c>
      <c r="K43" s="2309" t="s">
        <v>1115</v>
      </c>
      <c r="L43" s="2309"/>
      <c r="M43" s="2309"/>
      <c r="N43" s="2309"/>
      <c r="O43" s="2309"/>
      <c r="P43" s="1852"/>
      <c r="T43" s="2310" t="s">
        <v>1089</v>
      </c>
      <c r="U43" s="2310"/>
      <c r="V43" s="2310"/>
      <c r="W43" s="2310"/>
      <c r="X43" s="2310"/>
      <c r="Y43" s="2310"/>
      <c r="Z43" s="309"/>
      <c r="AA43" s="310">
        <v>0.18</v>
      </c>
      <c r="AB43" s="1851"/>
      <c r="AC43" s="1851"/>
      <c r="AD43" s="1851"/>
      <c r="AE43" s="188"/>
      <c r="AF43" s="188"/>
      <c r="AG43" s="1866"/>
      <c r="AH43" s="1851"/>
      <c r="AI43" s="16"/>
      <c r="AJ43" s="311"/>
      <c r="AK43" s="312"/>
      <c r="AL43" s="16"/>
      <c r="AO43" s="13"/>
      <c r="AP43" s="13"/>
    </row>
    <row r="44" spans="1:42" ht="108.75" thickBot="1">
      <c r="A44" s="187"/>
      <c r="B44" s="189" t="s">
        <v>10</v>
      </c>
      <c r="C44" s="190" t="s">
        <v>11</v>
      </c>
      <c r="D44" s="190" t="s">
        <v>12</v>
      </c>
      <c r="E44" s="190" t="s">
        <v>13</v>
      </c>
      <c r="F44" s="190" t="s">
        <v>14</v>
      </c>
      <c r="G44" s="191" t="s">
        <v>15</v>
      </c>
      <c r="H44" s="192" t="s">
        <v>1090</v>
      </c>
      <c r="I44" s="193">
        <f>$C$4</f>
        <v>0.49</v>
      </c>
      <c r="J44" s="313">
        <f>$C$4</f>
        <v>0.49</v>
      </c>
      <c r="K44" s="314" t="s">
        <v>15</v>
      </c>
      <c r="L44" s="315" t="s">
        <v>12</v>
      </c>
      <c r="M44" s="316" t="s">
        <v>1091</v>
      </c>
      <c r="N44" s="197" t="s">
        <v>993</v>
      </c>
      <c r="O44" s="317" t="s">
        <v>1092</v>
      </c>
      <c r="P44" s="199" t="s">
        <v>1092</v>
      </c>
      <c r="Q44" s="200" t="s">
        <v>1093</v>
      </c>
      <c r="R44" s="201" t="s">
        <v>1094</v>
      </c>
      <c r="S44" s="202" t="s">
        <v>1095</v>
      </c>
      <c r="T44" s="203" t="s">
        <v>1095</v>
      </c>
      <c r="U44" s="204" t="s">
        <v>1096</v>
      </c>
      <c r="V44" s="205" t="s">
        <v>1093</v>
      </c>
      <c r="W44" s="206" t="s">
        <v>1094</v>
      </c>
      <c r="X44" s="207" t="s">
        <v>1097</v>
      </c>
      <c r="Y44" s="208">
        <f>$X$33</f>
        <v>0.49</v>
      </c>
      <c r="Z44" s="207" t="s">
        <v>1098</v>
      </c>
      <c r="AA44" s="209" t="s">
        <v>1099</v>
      </c>
      <c r="AB44" s="209" t="s">
        <v>1100</v>
      </c>
      <c r="AC44" s="210" t="s">
        <v>1092</v>
      </c>
      <c r="AD44" s="211" t="s">
        <v>1101</v>
      </c>
      <c r="AE44" s="212" t="s">
        <v>1102</v>
      </c>
      <c r="AF44" s="208" t="s">
        <v>1103</v>
      </c>
      <c r="AG44" s="1867" t="s">
        <v>1104</v>
      </c>
      <c r="AH44" s="213" t="s">
        <v>1116</v>
      </c>
      <c r="AI44" s="318" t="s">
        <v>1106</v>
      </c>
      <c r="AJ44" s="319" t="s">
        <v>1107</v>
      </c>
      <c r="AK44" s="320" t="s">
        <v>1108</v>
      </c>
      <c r="AL44" s="219" t="s">
        <v>1109</v>
      </c>
      <c r="AM44" s="218" t="s">
        <v>1110</v>
      </c>
      <c r="AN44" s="219" t="s">
        <v>1111</v>
      </c>
      <c r="AO44" s="220" t="s">
        <v>1112</v>
      </c>
      <c r="AP44" s="221" t="s">
        <v>1113</v>
      </c>
    </row>
    <row r="45" spans="1:42" ht="15.75">
      <c r="A45" s="187"/>
      <c r="B45" s="222" t="s">
        <v>306</v>
      </c>
      <c r="C45" s="223" t="s">
        <v>190</v>
      </c>
      <c r="D45" s="224">
        <v>188</v>
      </c>
      <c r="E45" s="223">
        <v>20</v>
      </c>
      <c r="F45" s="224">
        <v>100</v>
      </c>
      <c r="G45" s="225">
        <v>181</v>
      </c>
      <c r="H45" s="226">
        <f t="shared" ref="H45:H50" si="35">G45*(1+$H$33)</f>
        <v>193.67000000000002</v>
      </c>
      <c r="I45" s="226">
        <f t="shared" ref="I45:I50" si="36">H45-H45*$J$35</f>
        <v>98.77170000000001</v>
      </c>
      <c r="J45" s="227">
        <f t="shared" ref="J45:J50" si="37">G45-G45*$J$35</f>
        <v>92.31</v>
      </c>
      <c r="K45" s="321">
        <v>196</v>
      </c>
      <c r="L45" s="322">
        <v>186</v>
      </c>
      <c r="M45" s="323">
        <f t="shared" ref="M45:M50" si="38">L45/D45*100%</f>
        <v>0.98936170212765961</v>
      </c>
      <c r="N45" s="231">
        <f t="shared" ref="N45:N50" si="39">K45-(K45*$N$33)</f>
        <v>107.8</v>
      </c>
      <c r="O45" s="324">
        <f t="shared" ref="O45:O50" si="40">((N45/J45)-1)*100%</f>
        <v>0.16780413822987761</v>
      </c>
      <c r="P45" s="325">
        <f t="shared" ref="P45:P50" si="41">((N45/I45)-1)*100%</f>
        <v>9.1405736663436876E-2</v>
      </c>
      <c r="Q45" s="326">
        <v>1.8027246626471436</v>
      </c>
      <c r="R45" s="258">
        <f t="shared" ref="R45:R50" si="42">Q45*$R$33</f>
        <v>84.787549058283105</v>
      </c>
      <c r="S45" s="259">
        <f t="shared" ref="S45:S50" si="43">((J45-R45)/J45)*100%</f>
        <v>8.1491181255734998E-2</v>
      </c>
      <c r="T45" s="237">
        <f t="shared" ref="T45:T50" si="44">((I45-R45)/I45)*100%</f>
        <v>0.14158054322965893</v>
      </c>
      <c r="U45" s="238">
        <v>1.488</v>
      </c>
      <c r="V45" s="239">
        <f t="shared" ref="V45:V50" si="45">U45*$X$31</f>
        <v>1.7855999999999999</v>
      </c>
      <c r="W45" s="239">
        <f t="shared" ref="W45:W50" si="46">V45*$R$33</f>
        <v>83.982124799999994</v>
      </c>
      <c r="X45" s="240">
        <f t="shared" ref="X45:X50" si="47">(ROUND(W45/(1-$AA$43),0))</f>
        <v>102</v>
      </c>
      <c r="Y45" s="239">
        <f t="shared" ref="Y45:Y50" si="48">Z45*(1-$X$33)</f>
        <v>97.92</v>
      </c>
      <c r="Z45" s="240">
        <f t="shared" ref="Z45:Z50" si="49">ROUND(X45/(1-$X$32),0)</f>
        <v>192</v>
      </c>
      <c r="AA45" s="241">
        <f t="shared" ref="AA45:AA50" si="50">((X45-W45)/X45)*100%</f>
        <v>0.1766458352941177</v>
      </c>
      <c r="AB45" s="241">
        <f t="shared" ref="AB45:AB50" si="51">((Y45-W45)/Y45)*100%</f>
        <v>0.14233941176470596</v>
      </c>
      <c r="AC45" s="242">
        <f t="shared" ref="AC45:AC50" si="52">((N45/Y45)-1)*100%</f>
        <v>0.10089869281045738</v>
      </c>
      <c r="AD45" s="243">
        <f t="shared" ref="AD45:AD50" si="53">((N45*0.96-W45)/(N45*0.96))*100%</f>
        <v>0.18848441558441564</v>
      </c>
      <c r="AE45" s="238">
        <f t="shared" ref="AE45:AE50" si="54">N45/$R$33</f>
        <v>2.2920077392469116</v>
      </c>
      <c r="AF45" s="239">
        <f t="shared" ref="AF45:AF50" si="55">(V45/(1-$AA$43))</f>
        <v>2.1775609756097558</v>
      </c>
      <c r="AG45" s="1868">
        <v>4.21</v>
      </c>
      <c r="AH45" s="244">
        <f t="shared" ref="AH45:AH50" si="56">((AF45-V45)/AF45)*100%</f>
        <v>0.17999999999999997</v>
      </c>
      <c r="AI45" s="327">
        <f t="shared" ref="AI45:AI50" si="57">AJ45/$AJ$51</f>
        <v>0.42424414963275064</v>
      </c>
      <c r="AJ45" s="246">
        <f>[1]Статистика!D505</f>
        <v>7451</v>
      </c>
      <c r="AK45" s="247">
        <f t="shared" ref="AK45:AK50" si="58">AJ45*Q45*S45</f>
        <v>1094.5978148350557</v>
      </c>
      <c r="AL45" s="248">
        <f t="shared" ref="AL45:AL50" si="59">AK45/$AK$51</f>
        <v>-1.6920886347512001</v>
      </c>
      <c r="AM45" s="248">
        <f t="shared" ref="AM45:AM50" si="60">AJ45/$AJ$111</f>
        <v>2.5258226466390726E-2</v>
      </c>
      <c r="AN45" s="248">
        <f t="shared" ref="AN45:AN50" si="61">AK45/$AK$111</f>
        <v>-0.11404130432092975</v>
      </c>
      <c r="AO45" s="77">
        <f t="shared" ref="AO45:AO50" si="62">AJ45/$AJ$23</f>
        <v>3.501371930660524E-3</v>
      </c>
      <c r="AP45" s="77">
        <f t="shared" ref="AP45:AP50" si="63">AK45/$AK$23</f>
        <v>-9.441999308103962E-3</v>
      </c>
    </row>
    <row r="46" spans="1:42" ht="15.75">
      <c r="A46" s="187"/>
      <c r="B46" s="249" t="s">
        <v>307</v>
      </c>
      <c r="C46" s="250" t="s">
        <v>192</v>
      </c>
      <c r="D46" s="251">
        <v>285</v>
      </c>
      <c r="E46" s="250">
        <v>16</v>
      </c>
      <c r="F46" s="251">
        <v>80</v>
      </c>
      <c r="G46" s="328">
        <v>236</v>
      </c>
      <c r="H46" s="226">
        <f t="shared" si="35"/>
        <v>252.52</v>
      </c>
      <c r="I46" s="226">
        <f t="shared" si="36"/>
        <v>128.7852</v>
      </c>
      <c r="J46" s="253">
        <f t="shared" si="37"/>
        <v>120.36</v>
      </c>
      <c r="K46" s="321">
        <v>289</v>
      </c>
      <c r="L46" s="322">
        <v>276</v>
      </c>
      <c r="M46" s="323">
        <f t="shared" si="38"/>
        <v>0.96842105263157896</v>
      </c>
      <c r="N46" s="231">
        <f t="shared" si="39"/>
        <v>158.94999999999999</v>
      </c>
      <c r="O46" s="329">
        <f t="shared" si="40"/>
        <v>0.32062146892655363</v>
      </c>
      <c r="P46" s="330">
        <f t="shared" si="41"/>
        <v>0.23422567189397525</v>
      </c>
      <c r="Q46" s="331">
        <v>2.7921696252465482</v>
      </c>
      <c r="R46" s="258">
        <f t="shared" si="42"/>
        <v>131.3241139842209</v>
      </c>
      <c r="S46" s="259">
        <f t="shared" si="43"/>
        <v>-9.1094333534570471E-2</v>
      </c>
      <c r="T46" s="260">
        <f t="shared" si="44"/>
        <v>-1.9714330406140592E-2</v>
      </c>
      <c r="U46" s="261">
        <v>2.2839999999999998</v>
      </c>
      <c r="V46" s="239">
        <f t="shared" si="45"/>
        <v>2.7407999999999997</v>
      </c>
      <c r="W46" s="262">
        <f t="shared" si="46"/>
        <v>128.90804639999999</v>
      </c>
      <c r="X46" s="263">
        <f t="shared" si="47"/>
        <v>157</v>
      </c>
      <c r="Y46" s="239">
        <f t="shared" si="48"/>
        <v>150.96</v>
      </c>
      <c r="Z46" s="263">
        <f t="shared" si="49"/>
        <v>296</v>
      </c>
      <c r="AA46" s="264">
        <f t="shared" si="50"/>
        <v>0.17892964076433127</v>
      </c>
      <c r="AB46" s="241">
        <f t="shared" si="51"/>
        <v>0.14607812400635942</v>
      </c>
      <c r="AC46" s="242">
        <f t="shared" si="52"/>
        <v>5.2927927927927776E-2</v>
      </c>
      <c r="AD46" s="266">
        <f t="shared" si="53"/>
        <v>0.15521097829506134</v>
      </c>
      <c r="AE46" s="261">
        <f t="shared" si="54"/>
        <v>3.3795420236854969</v>
      </c>
      <c r="AF46" s="262">
        <f t="shared" si="55"/>
        <v>3.3424390243902433</v>
      </c>
      <c r="AG46" s="1869">
        <v>6.08</v>
      </c>
      <c r="AH46" s="267">
        <f t="shared" si="56"/>
        <v>0.17999999999999997</v>
      </c>
      <c r="AI46" s="332">
        <f t="shared" si="57"/>
        <v>0.17929738655127256</v>
      </c>
      <c r="AJ46" s="333">
        <f>[1]Статистика!D506</f>
        <v>3149</v>
      </c>
      <c r="AK46" s="270">
        <f t="shared" si="58"/>
        <v>-800.95076721988573</v>
      </c>
      <c r="AL46" s="334">
        <f t="shared" si="59"/>
        <v>1.2381531114350426</v>
      </c>
      <c r="AM46" s="77">
        <f t="shared" si="60"/>
        <v>1.0674829572227137E-2</v>
      </c>
      <c r="AN46" s="77">
        <f t="shared" si="61"/>
        <v>8.3447517391919288E-2</v>
      </c>
      <c r="AO46" s="77">
        <f t="shared" si="62"/>
        <v>1.4797772392497637E-3</v>
      </c>
      <c r="AP46" s="77">
        <f t="shared" si="63"/>
        <v>6.9090002623978372E-3</v>
      </c>
    </row>
    <row r="47" spans="1:42" ht="15.75">
      <c r="A47" s="271"/>
      <c r="B47" s="249" t="s">
        <v>308</v>
      </c>
      <c r="C47" s="250" t="s">
        <v>194</v>
      </c>
      <c r="D47" s="251">
        <v>415</v>
      </c>
      <c r="E47" s="250">
        <v>14</v>
      </c>
      <c r="F47" s="251">
        <v>56</v>
      </c>
      <c r="G47" s="328">
        <v>376</v>
      </c>
      <c r="H47" s="226">
        <f t="shared" si="35"/>
        <v>402.32000000000005</v>
      </c>
      <c r="I47" s="226">
        <f t="shared" si="36"/>
        <v>205.18320000000003</v>
      </c>
      <c r="J47" s="253">
        <f t="shared" si="37"/>
        <v>191.76</v>
      </c>
      <c r="K47" s="321">
        <v>478</v>
      </c>
      <c r="L47" s="322">
        <v>429</v>
      </c>
      <c r="M47" s="335">
        <f t="shared" si="38"/>
        <v>1.0337349397590361</v>
      </c>
      <c r="N47" s="231">
        <f t="shared" si="39"/>
        <v>262.89999999999998</v>
      </c>
      <c r="O47" s="329">
        <f t="shared" si="40"/>
        <v>0.37098456403838131</v>
      </c>
      <c r="P47" s="330">
        <f t="shared" si="41"/>
        <v>0.28129398508259906</v>
      </c>
      <c r="Q47" s="336">
        <v>4.2698748796920114</v>
      </c>
      <c r="R47" s="258">
        <f t="shared" si="42"/>
        <v>200.82502521655437</v>
      </c>
      <c r="S47" s="259">
        <f t="shared" si="43"/>
        <v>-4.7272763957834661E-2</v>
      </c>
      <c r="T47" s="260">
        <f t="shared" si="44"/>
        <v>2.1240407516042548E-2</v>
      </c>
      <c r="U47" s="261">
        <v>3.4929999999999999</v>
      </c>
      <c r="V47" s="239">
        <f t="shared" si="45"/>
        <v>4.1915999999999993</v>
      </c>
      <c r="W47" s="262">
        <f t="shared" si="46"/>
        <v>197.14352279999997</v>
      </c>
      <c r="X47" s="263">
        <f t="shared" si="47"/>
        <v>240</v>
      </c>
      <c r="Y47" s="239">
        <f t="shared" si="48"/>
        <v>231.03</v>
      </c>
      <c r="Z47" s="263">
        <f t="shared" si="49"/>
        <v>453</v>
      </c>
      <c r="AA47" s="264">
        <f t="shared" si="50"/>
        <v>0.17856865500000013</v>
      </c>
      <c r="AB47" s="241">
        <f t="shared" si="51"/>
        <v>0.14667565770679145</v>
      </c>
      <c r="AC47" s="242">
        <f t="shared" si="52"/>
        <v>0.137947452711769</v>
      </c>
      <c r="AD47" s="266">
        <f t="shared" si="53"/>
        <v>0.21887471947508558</v>
      </c>
      <c r="AE47" s="261">
        <f t="shared" si="54"/>
        <v>5.5896923436735904</v>
      </c>
      <c r="AF47" s="262">
        <f t="shared" si="55"/>
        <v>5.1117073170731695</v>
      </c>
      <c r="AG47" s="1869">
        <v>9.89</v>
      </c>
      <c r="AH47" s="267">
        <f t="shared" si="56"/>
        <v>0.17999999999999994</v>
      </c>
      <c r="AI47" s="332">
        <f t="shared" si="57"/>
        <v>0.15105619768832204</v>
      </c>
      <c r="AJ47" s="333">
        <f>[1]Статистика!D507</f>
        <v>2653</v>
      </c>
      <c r="AK47" s="270">
        <f t="shared" si="58"/>
        <v>-535.5048327524471</v>
      </c>
      <c r="AL47" s="334">
        <f t="shared" si="59"/>
        <v>0.82781239746152879</v>
      </c>
      <c r="AM47" s="77">
        <f t="shared" si="60"/>
        <v>8.9934337424955844E-3</v>
      </c>
      <c r="AN47" s="77">
        <f t="shared" si="61"/>
        <v>5.5791879692773695E-2</v>
      </c>
      <c r="AO47" s="77">
        <f t="shared" si="62"/>
        <v>1.2466970516766031E-3</v>
      </c>
      <c r="AP47" s="77">
        <f t="shared" si="63"/>
        <v>4.6192639815354052E-3</v>
      </c>
    </row>
    <row r="48" spans="1:42" ht="15.75">
      <c r="A48" s="187"/>
      <c r="B48" s="249" t="s">
        <v>309</v>
      </c>
      <c r="C48" s="250" t="s">
        <v>209</v>
      </c>
      <c r="D48" s="251">
        <v>695</v>
      </c>
      <c r="E48" s="250">
        <v>4</v>
      </c>
      <c r="F48" s="251">
        <v>24</v>
      </c>
      <c r="G48" s="328">
        <v>674</v>
      </c>
      <c r="H48" s="226">
        <f t="shared" si="35"/>
        <v>721.18000000000006</v>
      </c>
      <c r="I48" s="226">
        <f t="shared" si="36"/>
        <v>367.80180000000001</v>
      </c>
      <c r="J48" s="253">
        <f t="shared" si="37"/>
        <v>343.74</v>
      </c>
      <c r="K48" s="321">
        <v>801</v>
      </c>
      <c r="L48" s="322">
        <v>711</v>
      </c>
      <c r="M48" s="323">
        <f t="shared" si="38"/>
        <v>1.0230215827338129</v>
      </c>
      <c r="N48" s="231">
        <f t="shared" si="39"/>
        <v>440.55</v>
      </c>
      <c r="O48" s="329">
        <f t="shared" si="40"/>
        <v>0.28163728399371624</v>
      </c>
      <c r="P48" s="330">
        <f t="shared" si="41"/>
        <v>0.19779185419973477</v>
      </c>
      <c r="Q48" s="331">
        <v>7.2699789621318374</v>
      </c>
      <c r="R48" s="258">
        <f t="shared" si="42"/>
        <v>341.92892052594669</v>
      </c>
      <c r="S48" s="259">
        <f t="shared" si="43"/>
        <v>5.2687481062818264E-3</v>
      </c>
      <c r="T48" s="260">
        <f t="shared" si="44"/>
        <v>7.0344624398394243E-2</v>
      </c>
      <c r="U48" s="261">
        <v>5.9530000000000003</v>
      </c>
      <c r="V48" s="239">
        <f t="shared" si="45"/>
        <v>7.1436000000000002</v>
      </c>
      <c r="W48" s="262">
        <f t="shared" si="46"/>
        <v>335.98493880000001</v>
      </c>
      <c r="X48" s="263">
        <f t="shared" si="47"/>
        <v>410</v>
      </c>
      <c r="Y48" s="239">
        <f t="shared" si="48"/>
        <v>394.74</v>
      </c>
      <c r="Z48" s="263">
        <f t="shared" si="49"/>
        <v>774</v>
      </c>
      <c r="AA48" s="264">
        <f t="shared" si="50"/>
        <v>0.1805245395121951</v>
      </c>
      <c r="AB48" s="241">
        <f t="shared" si="51"/>
        <v>0.14884496428028576</v>
      </c>
      <c r="AC48" s="242">
        <f t="shared" si="52"/>
        <v>0.11605107159142736</v>
      </c>
      <c r="AD48" s="266">
        <f t="shared" si="53"/>
        <v>0.20557414311655883</v>
      </c>
      <c r="AE48" s="261">
        <f t="shared" si="54"/>
        <v>9.3668275466162054</v>
      </c>
      <c r="AF48" s="262">
        <f t="shared" si="55"/>
        <v>8.71170731707317</v>
      </c>
      <c r="AG48" s="1869">
        <v>16.850000000000001</v>
      </c>
      <c r="AH48" s="267">
        <f t="shared" si="56"/>
        <v>0.17999999999999991</v>
      </c>
      <c r="AI48" s="337">
        <f t="shared" si="57"/>
        <v>0.13579684564140523</v>
      </c>
      <c r="AJ48" s="338">
        <f>[1]Статистика!D508</f>
        <v>2385</v>
      </c>
      <c r="AK48" s="297">
        <f t="shared" si="58"/>
        <v>91.354295616316392</v>
      </c>
      <c r="AL48" s="50">
        <f t="shared" si="59"/>
        <v>-0.14122042201533525</v>
      </c>
      <c r="AM48" s="92">
        <f t="shared" si="60"/>
        <v>8.0849376086890197E-3</v>
      </c>
      <c r="AN48" s="92">
        <f t="shared" si="61"/>
        <v>-9.5177999500889038E-3</v>
      </c>
      <c r="AO48" s="77">
        <f t="shared" si="62"/>
        <v>1.1207585632298147E-3</v>
      </c>
      <c r="AP48" s="77">
        <f t="shared" si="63"/>
        <v>-7.8802203358277674E-4</v>
      </c>
    </row>
    <row r="49" spans="1:42" ht="15.75">
      <c r="A49" s="187"/>
      <c r="B49" s="249" t="s">
        <v>310</v>
      </c>
      <c r="C49" s="250" t="s">
        <v>303</v>
      </c>
      <c r="D49" s="251">
        <v>1020</v>
      </c>
      <c r="E49" s="250">
        <v>4</v>
      </c>
      <c r="F49" s="251">
        <v>24</v>
      </c>
      <c r="G49" s="328">
        <v>982</v>
      </c>
      <c r="H49" s="226">
        <f t="shared" si="35"/>
        <v>1050.74</v>
      </c>
      <c r="I49" s="226">
        <f t="shared" si="36"/>
        <v>535.87739999999997</v>
      </c>
      <c r="J49" s="253">
        <f t="shared" si="37"/>
        <v>500.82</v>
      </c>
      <c r="K49" s="321">
        <v>1193</v>
      </c>
      <c r="L49" s="322">
        <v>1055</v>
      </c>
      <c r="M49" s="335">
        <f t="shared" si="38"/>
        <v>1.0343137254901962</v>
      </c>
      <c r="N49" s="231">
        <f t="shared" si="39"/>
        <v>656.15</v>
      </c>
      <c r="O49" s="329">
        <f t="shared" si="40"/>
        <v>0.31015135178307562</v>
      </c>
      <c r="P49" s="330">
        <f t="shared" si="41"/>
        <v>0.22444051568511747</v>
      </c>
      <c r="Q49" s="331">
        <v>10.513273231622746</v>
      </c>
      <c r="R49" s="258">
        <f t="shared" si="42"/>
        <v>494.47077990291262</v>
      </c>
      <c r="S49" s="259">
        <f t="shared" si="43"/>
        <v>1.2677648850060638E-2</v>
      </c>
      <c r="T49" s="260">
        <f t="shared" si="44"/>
        <v>7.7268830700991206E-2</v>
      </c>
      <c r="U49" s="261">
        <v>8.6310000000000002</v>
      </c>
      <c r="V49" s="239">
        <f t="shared" si="45"/>
        <v>10.357200000000001</v>
      </c>
      <c r="W49" s="262">
        <f t="shared" si="46"/>
        <v>487.13018760000006</v>
      </c>
      <c r="X49" s="263">
        <f t="shared" si="47"/>
        <v>594</v>
      </c>
      <c r="Y49" s="239">
        <f t="shared" si="48"/>
        <v>571.71</v>
      </c>
      <c r="Z49" s="263">
        <f t="shared" si="49"/>
        <v>1121</v>
      </c>
      <c r="AA49" s="264">
        <f t="shared" si="50"/>
        <v>0.179915509090909</v>
      </c>
      <c r="AB49" s="241">
        <f t="shared" si="51"/>
        <v>0.14794181035839846</v>
      </c>
      <c r="AC49" s="242">
        <f t="shared" si="52"/>
        <v>0.14769725909989329</v>
      </c>
      <c r="AD49" s="266">
        <f t="shared" si="53"/>
        <v>0.22665963765907177</v>
      </c>
      <c r="AE49" s="261">
        <f t="shared" si="54"/>
        <v>13.950843025110029</v>
      </c>
      <c r="AF49" s="262">
        <f t="shared" si="55"/>
        <v>12.630731707317073</v>
      </c>
      <c r="AG49" s="1869">
        <v>24.43</v>
      </c>
      <c r="AH49" s="267">
        <f t="shared" si="56"/>
        <v>0.17999999999999997</v>
      </c>
      <c r="AI49" s="332">
        <f t="shared" si="57"/>
        <v>6.9179525138074363E-2</v>
      </c>
      <c r="AJ49" s="333">
        <f>[1]Статистика!D509</f>
        <v>1215</v>
      </c>
      <c r="AK49" s="270">
        <f t="shared" si="58"/>
        <v>161.93955734873529</v>
      </c>
      <c r="AL49" s="334">
        <f t="shared" si="59"/>
        <v>-0.25033494566926984</v>
      </c>
      <c r="AM49" s="77">
        <f t="shared" si="60"/>
        <v>4.1187418006528968E-3</v>
      </c>
      <c r="AN49" s="77">
        <f t="shared" si="61"/>
        <v>-1.6871766132647251E-2</v>
      </c>
      <c r="AO49" s="77">
        <f t="shared" si="62"/>
        <v>5.7095247560764149E-4</v>
      </c>
      <c r="AP49" s="77">
        <f t="shared" si="63"/>
        <v>-1.3968904082563235E-3</v>
      </c>
    </row>
    <row r="50" spans="1:42" ht="16.5" thickBot="1">
      <c r="A50" s="187"/>
      <c r="B50" s="274" t="s">
        <v>311</v>
      </c>
      <c r="C50" s="275" t="s">
        <v>305</v>
      </c>
      <c r="D50" s="276">
        <v>1505</v>
      </c>
      <c r="E50" s="275">
        <v>4</v>
      </c>
      <c r="F50" s="276">
        <v>12</v>
      </c>
      <c r="G50" s="339">
        <v>1412</v>
      </c>
      <c r="H50" s="226">
        <f t="shared" si="35"/>
        <v>1510.8400000000001</v>
      </c>
      <c r="I50" s="226">
        <f t="shared" si="36"/>
        <v>770.52840000000003</v>
      </c>
      <c r="J50" s="278">
        <f t="shared" si="37"/>
        <v>720.12</v>
      </c>
      <c r="K50" s="340">
        <v>1794</v>
      </c>
      <c r="L50" s="341">
        <v>1473</v>
      </c>
      <c r="M50" s="342">
        <f t="shared" si="38"/>
        <v>0.97873754152823922</v>
      </c>
      <c r="N50" s="231">
        <f t="shared" si="39"/>
        <v>986.69999999999993</v>
      </c>
      <c r="O50" s="329">
        <f t="shared" si="40"/>
        <v>0.370188301949675</v>
      </c>
      <c r="P50" s="343">
        <f t="shared" si="41"/>
        <v>0.2805498149062382</v>
      </c>
      <c r="Q50" s="344">
        <v>16.187941176470588</v>
      </c>
      <c r="R50" s="285">
        <f t="shared" si="42"/>
        <v>761.36743735294112</v>
      </c>
      <c r="S50" s="286">
        <f t="shared" si="43"/>
        <v>-5.727856100780581E-2</v>
      </c>
      <c r="T50" s="287">
        <f t="shared" si="44"/>
        <v>1.1889195319807691E-2</v>
      </c>
      <c r="U50" s="288">
        <v>13.256</v>
      </c>
      <c r="V50" s="239">
        <f t="shared" si="45"/>
        <v>15.9072</v>
      </c>
      <c r="W50" s="289">
        <f t="shared" si="46"/>
        <v>748.16333759999998</v>
      </c>
      <c r="X50" s="290">
        <f t="shared" si="47"/>
        <v>912</v>
      </c>
      <c r="Y50" s="291">
        <f t="shared" si="48"/>
        <v>877.71</v>
      </c>
      <c r="Z50" s="290">
        <f t="shared" si="49"/>
        <v>1721</v>
      </c>
      <c r="AA50" s="292">
        <f t="shared" si="50"/>
        <v>0.17964546315789476</v>
      </c>
      <c r="AB50" s="241">
        <f t="shared" si="51"/>
        <v>0.14759620193457981</v>
      </c>
      <c r="AC50" s="345">
        <f t="shared" si="52"/>
        <v>0.12417541101274887</v>
      </c>
      <c r="AD50" s="294">
        <f t="shared" si="53"/>
        <v>0.21015829532786046</v>
      </c>
      <c r="AE50" s="288">
        <f t="shared" si="54"/>
        <v>20.978887164331425</v>
      </c>
      <c r="AF50" s="289">
        <f t="shared" si="55"/>
        <v>19.399024390243902</v>
      </c>
      <c r="AG50" s="1870">
        <v>37.520000000000003</v>
      </c>
      <c r="AH50" s="295">
        <f t="shared" si="56"/>
        <v>0.18</v>
      </c>
      <c r="AI50" s="332">
        <f t="shared" si="57"/>
        <v>4.0425895348175138E-2</v>
      </c>
      <c r="AJ50" s="333">
        <f>[1]Статистика!D510</f>
        <v>710</v>
      </c>
      <c r="AK50" s="270">
        <f t="shared" si="58"/>
        <v>-658.327603149742</v>
      </c>
      <c r="AL50" s="334">
        <f t="shared" si="59"/>
        <v>1.017678493539234</v>
      </c>
      <c r="AM50" s="77">
        <f t="shared" si="60"/>
        <v>2.4068367723979892E-3</v>
      </c>
      <c r="AN50" s="77">
        <f t="shared" si="61"/>
        <v>6.8588240827962221E-2</v>
      </c>
      <c r="AO50" s="77">
        <f t="shared" si="62"/>
        <v>3.3364301043738718E-4</v>
      </c>
      <c r="AP50" s="77">
        <f t="shared" si="63"/>
        <v>5.6787330371039328E-3</v>
      </c>
    </row>
    <row r="51" spans="1:42" ht="15.75" thickBot="1">
      <c r="A51" s="149" t="s">
        <v>541</v>
      </c>
      <c r="B51" s="157"/>
      <c r="C51" s="157" t="s">
        <v>1117</v>
      </c>
      <c r="O51" s="298">
        <f>AVERAGE(O45:O50)</f>
        <v>0.30356451815354657</v>
      </c>
      <c r="P51" s="298">
        <f>AVERAGE(P45:P50)</f>
        <v>0.21828459640518361</v>
      </c>
      <c r="R51" s="153"/>
      <c r="S51" s="299" t="s">
        <v>973</v>
      </c>
      <c r="T51" s="300" t="s">
        <v>973</v>
      </c>
      <c r="U51" s="301"/>
      <c r="V51" s="301"/>
      <c r="W51" s="301"/>
      <c r="X51" s="301"/>
      <c r="Y51" s="301"/>
      <c r="Z51" s="301"/>
      <c r="AA51" s="302"/>
      <c r="AB51" s="302"/>
      <c r="AC51" s="302"/>
      <c r="AD51" s="302">
        <f>AVERAGE(AD45:AD50)</f>
        <v>0.2008270315763423</v>
      </c>
      <c r="AE51" s="301"/>
      <c r="AF51" s="301"/>
      <c r="AG51" s="1871"/>
      <c r="AH51" s="302"/>
      <c r="AI51" s="303">
        <f>S45*AI45+S46*AI46+S47*AI47+S48*AI48+S49*AI49+S50*AI50</f>
        <v>1.0375312971972183E-2</v>
      </c>
      <c r="AJ51" s="304">
        <f>SUM(AJ45:AJ50)</f>
        <v>17563</v>
      </c>
      <c r="AK51" s="305">
        <f>SUM(AK45:AK50)</f>
        <v>-646.89153532196747</v>
      </c>
      <c r="AL51" s="16"/>
      <c r="AM51" s="307">
        <f>SUM(AM45:AM50)</f>
        <v>5.9537005962853357E-2</v>
      </c>
      <c r="AN51" s="307">
        <f>SUM(AN45:AN50)</f>
        <v>6.7396767508989291E-2</v>
      </c>
      <c r="AO51" s="308">
        <f>SUM(AO45:AO50)</f>
        <v>8.2532002708617345E-3</v>
      </c>
      <c r="AP51" s="308">
        <f>SUM(AP45:AP50)</f>
        <v>5.5800855310941134E-3</v>
      </c>
    </row>
    <row r="52" spans="1:42" ht="15.75" thickBot="1">
      <c r="A52" s="187"/>
      <c r="C52" s="148" t="s">
        <v>31</v>
      </c>
      <c r="K52" s="2309" t="s">
        <v>1118</v>
      </c>
      <c r="L52" s="2309"/>
      <c r="M52" s="2309"/>
      <c r="N52" s="2309"/>
      <c r="O52" s="2309"/>
      <c r="P52" s="1852"/>
      <c r="T52" s="2310" t="s">
        <v>1089</v>
      </c>
      <c r="U52" s="2310"/>
      <c r="V52" s="2310"/>
      <c r="W52" s="2310"/>
      <c r="X52" s="309"/>
      <c r="Y52" s="309"/>
      <c r="Z52" s="309"/>
      <c r="AA52" s="346">
        <v>0.14000000000000001</v>
      </c>
      <c r="AB52" s="1851"/>
      <c r="AC52" s="1851"/>
      <c r="AD52" s="1851"/>
      <c r="AE52" s="188"/>
      <c r="AF52" s="188"/>
      <c r="AG52" s="1866"/>
      <c r="AH52" s="1851"/>
      <c r="AI52" s="16"/>
      <c r="AJ52" s="311"/>
      <c r="AK52" s="312"/>
      <c r="AL52" s="16"/>
      <c r="AO52" s="13"/>
      <c r="AP52" s="13"/>
    </row>
    <row r="53" spans="1:42" ht="108.75" thickBot="1">
      <c r="A53" s="187"/>
      <c r="B53" s="189" t="s">
        <v>10</v>
      </c>
      <c r="C53" s="190" t="s">
        <v>11</v>
      </c>
      <c r="D53" s="190" t="s">
        <v>12</v>
      </c>
      <c r="E53" s="190" t="s">
        <v>13</v>
      </c>
      <c r="F53" s="190" t="s">
        <v>14</v>
      </c>
      <c r="G53" s="191" t="s">
        <v>15</v>
      </c>
      <c r="H53" s="347" t="s">
        <v>1090</v>
      </c>
      <c r="I53" s="348">
        <f>$C$4</f>
        <v>0.49</v>
      </c>
      <c r="J53" s="313">
        <f>$C$4</f>
        <v>0.49</v>
      </c>
      <c r="K53" s="314" t="s">
        <v>15</v>
      </c>
      <c r="L53" s="315" t="s">
        <v>12</v>
      </c>
      <c r="M53" s="316" t="s">
        <v>1091</v>
      </c>
      <c r="N53" s="349" t="s">
        <v>993</v>
      </c>
      <c r="O53" s="317" t="s">
        <v>1092</v>
      </c>
      <c r="P53" s="199" t="s">
        <v>1092</v>
      </c>
      <c r="Q53" s="200" t="s">
        <v>1093</v>
      </c>
      <c r="R53" s="201" t="s">
        <v>1094</v>
      </c>
      <c r="S53" s="350" t="s">
        <v>1095</v>
      </c>
      <c r="T53" s="203" t="s">
        <v>1095</v>
      </c>
      <c r="U53" s="204" t="s">
        <v>1096</v>
      </c>
      <c r="V53" s="205" t="s">
        <v>1093</v>
      </c>
      <c r="W53" s="206" t="s">
        <v>1094</v>
      </c>
      <c r="X53" s="207" t="s">
        <v>1097</v>
      </c>
      <c r="Y53" s="208">
        <f>$X$33</f>
        <v>0.49</v>
      </c>
      <c r="Z53" s="207" t="s">
        <v>1098</v>
      </c>
      <c r="AA53" s="209" t="s">
        <v>1099</v>
      </c>
      <c r="AB53" s="209" t="s">
        <v>1100</v>
      </c>
      <c r="AC53" s="210" t="s">
        <v>1092</v>
      </c>
      <c r="AD53" s="211" t="s">
        <v>1101</v>
      </c>
      <c r="AE53" s="212" t="s">
        <v>1102</v>
      </c>
      <c r="AF53" s="208" t="s">
        <v>1103</v>
      </c>
      <c r="AG53" s="1867" t="s">
        <v>1104</v>
      </c>
      <c r="AH53" s="213" t="s">
        <v>1116</v>
      </c>
      <c r="AI53" s="218" t="s">
        <v>1106</v>
      </c>
      <c r="AJ53" s="319" t="s">
        <v>1107</v>
      </c>
      <c r="AK53" s="320" t="s">
        <v>1108</v>
      </c>
      <c r="AL53" s="219" t="s">
        <v>1109</v>
      </c>
      <c r="AM53" s="221" t="s">
        <v>1110</v>
      </c>
      <c r="AN53" s="221" t="s">
        <v>1111</v>
      </c>
      <c r="AO53" s="220" t="s">
        <v>1112</v>
      </c>
      <c r="AP53" s="221" t="s">
        <v>1113</v>
      </c>
    </row>
    <row r="54" spans="1:42" ht="15.75">
      <c r="A54" s="271"/>
      <c r="B54" s="351" t="s">
        <v>312</v>
      </c>
      <c r="C54" s="223" t="s">
        <v>190</v>
      </c>
      <c r="D54" s="224">
        <v>155</v>
      </c>
      <c r="E54" s="223">
        <v>20</v>
      </c>
      <c r="F54" s="224">
        <v>100</v>
      </c>
      <c r="G54" s="225">
        <v>141</v>
      </c>
      <c r="H54" s="352">
        <f>G54*(1+$H$33)</f>
        <v>150.87</v>
      </c>
      <c r="I54" s="352">
        <f>H54-H54*$J$35</f>
        <v>76.943700000000007</v>
      </c>
      <c r="J54" s="227">
        <f>G54-G54*$J$35</f>
        <v>71.91</v>
      </c>
      <c r="K54" s="321">
        <v>160</v>
      </c>
      <c r="L54" s="322">
        <v>150</v>
      </c>
      <c r="M54" s="323">
        <f>L54/D54*100%</f>
        <v>0.967741935483871</v>
      </c>
      <c r="N54" s="353">
        <f>K54-(K54*$N$33)</f>
        <v>88</v>
      </c>
      <c r="O54" s="324">
        <f>((N54/J54)-1)*100%</f>
        <v>0.22375191211236278</v>
      </c>
      <c r="P54" s="325">
        <f>((N54/I54)-1)*100%</f>
        <v>0.14369337580594643</v>
      </c>
      <c r="Q54" s="326">
        <v>1.6099999999999999</v>
      </c>
      <c r="R54" s="258">
        <f>Q54*$R$33</f>
        <v>75.723129999999998</v>
      </c>
      <c r="S54" s="259">
        <f>((J54-R54)/J54)*100%</f>
        <v>-5.3026421916284261E-2</v>
      </c>
      <c r="T54" s="237">
        <f>((I54-R54)/I54)*100%</f>
        <v>1.5863157087584939E-2</v>
      </c>
      <c r="U54" s="238">
        <v>1.3480000000000001</v>
      </c>
      <c r="V54" s="239">
        <f>U54*$X$31</f>
        <v>1.6176000000000001</v>
      </c>
      <c r="W54" s="239">
        <f>V54*$R$33</f>
        <v>76.080580800000007</v>
      </c>
      <c r="X54" s="240">
        <f>(ROUND(W54/(1-$AA$52),0))</f>
        <v>88</v>
      </c>
      <c r="Y54" s="239">
        <f>Z54*(1-$X$33)</f>
        <v>84.66</v>
      </c>
      <c r="Z54" s="240">
        <f>ROUND(X54/(1-$X$32),0)</f>
        <v>166</v>
      </c>
      <c r="AA54" s="241">
        <f>((X54-W54)/X54)*100%</f>
        <v>0.13544794545454539</v>
      </c>
      <c r="AB54" s="241">
        <f>((Y54-W54)/Y54)*100%</f>
        <v>0.10133970233876671</v>
      </c>
      <c r="AC54" s="242">
        <f>((N54/Y54)-1)*100%</f>
        <v>3.9451925348452654E-2</v>
      </c>
      <c r="AD54" s="243">
        <f>((N54*0.96-W54)/(N54*0.96))*100%</f>
        <v>9.9424943181817993E-2</v>
      </c>
      <c r="AE54" s="238">
        <f>N54/$R$33</f>
        <v>1.8710267259158462</v>
      </c>
      <c r="AF54" s="239">
        <f>(V54/(1-$AA$52))</f>
        <v>1.8809302325581398</v>
      </c>
      <c r="AG54" s="1868">
        <v>3.55</v>
      </c>
      <c r="AH54" s="244">
        <f>((AF54-V54)/AF54)*100%</f>
        <v>0.14000000000000007</v>
      </c>
      <c r="AI54" s="50">
        <f>AJ54/$AJ$57</f>
        <v>0.58292705029451741</v>
      </c>
      <c r="AJ54" s="354">
        <f>VLOOKUP($B54,[1]Статистика!$B:$D,3,FALSE)</f>
        <v>32163</v>
      </c>
      <c r="AK54" s="355">
        <f>AJ54*Q54*S54</f>
        <v>-2745.8369810304553</v>
      </c>
      <c r="AL54" s="50">
        <f>AK54/$AK$57</f>
        <v>0.43267385459729241</v>
      </c>
      <c r="AM54" s="92">
        <f>AJ54/$AJ$111</f>
        <v>0.10902970578962891</v>
      </c>
      <c r="AN54" s="92">
        <f>AK54/$AK$111</f>
        <v>0.28607660870997065</v>
      </c>
      <c r="AO54" s="77">
        <f>AJ54/$AJ$23</f>
        <v>1.5114028372813639E-2</v>
      </c>
      <c r="AP54" s="77">
        <f>AK54/$AK$23</f>
        <v>2.3685586179397439E-2</v>
      </c>
    </row>
    <row r="55" spans="1:42" ht="15.75">
      <c r="A55" s="187"/>
      <c r="B55" s="356" t="s">
        <v>313</v>
      </c>
      <c r="C55" s="250" t="s">
        <v>192</v>
      </c>
      <c r="D55" s="251">
        <v>245</v>
      </c>
      <c r="E55" s="250">
        <v>16</v>
      </c>
      <c r="F55" s="251">
        <v>80</v>
      </c>
      <c r="G55" s="328">
        <v>220</v>
      </c>
      <c r="H55" s="357">
        <f>G55*(1+$H$33)</f>
        <v>235.4</v>
      </c>
      <c r="I55" s="357">
        <f>H55-H55*$J$35</f>
        <v>120.054</v>
      </c>
      <c r="J55" s="253">
        <f>G55-G55*$J$35</f>
        <v>112.2</v>
      </c>
      <c r="K55" s="321">
        <v>246</v>
      </c>
      <c r="L55" s="322">
        <v>238</v>
      </c>
      <c r="M55" s="323">
        <f>L55/D55*100%</f>
        <v>0.97142857142857142</v>
      </c>
      <c r="N55" s="353">
        <f>K55-(K55*$N$33)</f>
        <v>135.30000000000001</v>
      </c>
      <c r="O55" s="324">
        <f>((N55/J55)-1)*100%</f>
        <v>0.20588235294117663</v>
      </c>
      <c r="P55" s="358">
        <f>((N55/I55)-1)*100%</f>
        <v>0.12699285321605291</v>
      </c>
      <c r="Q55" s="331">
        <v>2.56</v>
      </c>
      <c r="R55" s="258">
        <f>Q55*$R$33</f>
        <v>120.40448000000001</v>
      </c>
      <c r="S55" s="259">
        <f>((J55-R55)/J55)*100%</f>
        <v>-7.3123707664884172E-2</v>
      </c>
      <c r="T55" s="260">
        <f>((I55-R55)/I55)*100%</f>
        <v>-2.9193529578356785E-3</v>
      </c>
      <c r="U55" s="261">
        <v>2.1560000000000001</v>
      </c>
      <c r="V55" s="239">
        <f>U55*$X$31</f>
        <v>2.5872000000000002</v>
      </c>
      <c r="W55" s="262">
        <f>V55*$R$33</f>
        <v>121.68377760000001</v>
      </c>
      <c r="X55" s="263">
        <f>(ROUND(W55/(1-$AA$52),0))</f>
        <v>141</v>
      </c>
      <c r="Y55" s="239">
        <f>Z55*(1-$X$33)</f>
        <v>135.66</v>
      </c>
      <c r="Z55" s="263">
        <f>ROUND(X55/(1-$X$32),0)</f>
        <v>266</v>
      </c>
      <c r="AA55" s="264">
        <f>((X55-W55)/X55)*100%</f>
        <v>0.13699448510638287</v>
      </c>
      <c r="AB55" s="241">
        <f>((Y55-W55)/Y55)*100%</f>
        <v>0.10302390092879245</v>
      </c>
      <c r="AC55" s="265">
        <f>((N55/Y55)-1)*100%</f>
        <v>-2.6536930561696925E-3</v>
      </c>
      <c r="AD55" s="266">
        <f>((N55*0.96-W55)/(N55*0.96))*100%</f>
        <v>6.3163821138211312E-2</v>
      </c>
      <c r="AE55" s="261">
        <f>N55/$R$33</f>
        <v>2.8767035910956138</v>
      </c>
      <c r="AF55" s="262">
        <f>(V55/(1-$AA$52))</f>
        <v>3.0083720930232563</v>
      </c>
      <c r="AG55" s="1869">
        <v>5.57</v>
      </c>
      <c r="AH55" s="267">
        <f>((AF55-V55)/AF55)*100%</f>
        <v>0.14000000000000007</v>
      </c>
      <c r="AI55" s="77">
        <f>AJ55/$AJ$57</f>
        <v>0.3128772088808337</v>
      </c>
      <c r="AJ55" s="333">
        <f>VLOOKUP($B55,[1]Статистика!$B:$D,3,FALSE)</f>
        <v>17263</v>
      </c>
      <c r="AK55" s="270">
        <f>AJ55*Q55*S55</f>
        <v>-3231.5764874723723</v>
      </c>
      <c r="AL55" s="77">
        <f>AK55/$AK$57</f>
        <v>0.50921400830428321</v>
      </c>
      <c r="AM55" s="77">
        <f>AJ55/$AJ$111</f>
        <v>5.8520032678741528E-2</v>
      </c>
      <c r="AN55" s="77">
        <f>AK55/$AK$111</f>
        <v>0.33668365919379445</v>
      </c>
      <c r="AO55" s="77">
        <f>AJ55/$AJ$23</f>
        <v>8.1122243509586123E-3</v>
      </c>
      <c r="AP55" s="77">
        <f>AK55/$AK$23</f>
        <v>2.7875574521768153E-2</v>
      </c>
    </row>
    <row r="56" spans="1:42" ht="16.5" thickBot="1">
      <c r="A56" s="187"/>
      <c r="B56" s="359" t="s">
        <v>314</v>
      </c>
      <c r="C56" s="275" t="s">
        <v>194</v>
      </c>
      <c r="D56" s="276">
        <v>365</v>
      </c>
      <c r="E56" s="275">
        <v>12</v>
      </c>
      <c r="F56" s="276">
        <v>56</v>
      </c>
      <c r="G56" s="339">
        <v>352</v>
      </c>
      <c r="H56" s="360">
        <f>G56*(1+$H$33)</f>
        <v>376.64000000000004</v>
      </c>
      <c r="I56" s="360">
        <f>H56-H56*$J$35</f>
        <v>192.08640000000003</v>
      </c>
      <c r="J56" s="361">
        <f>G56-G56*$J$35</f>
        <v>179.52</v>
      </c>
      <c r="K56" s="340">
        <v>400</v>
      </c>
      <c r="L56" s="341">
        <v>377</v>
      </c>
      <c r="M56" s="342">
        <f>L56/D56*100%</f>
        <v>1.0328767123287672</v>
      </c>
      <c r="N56" s="362">
        <f>K56-(K56*$N$33)</f>
        <v>220</v>
      </c>
      <c r="O56" s="363">
        <f>((N56/J56)-1)*100%</f>
        <v>0.22549019607843124</v>
      </c>
      <c r="P56" s="343">
        <f>((N56/I56)-1)*100%</f>
        <v>0.14531794026021605</v>
      </c>
      <c r="Q56" s="336">
        <v>3.88</v>
      </c>
      <c r="R56" s="258">
        <f>Q56*$R$33</f>
        <v>182.48804000000001</v>
      </c>
      <c r="S56" s="259">
        <f>((J56-R56)/J56)*100%</f>
        <v>-1.6533199643493771E-2</v>
      </c>
      <c r="T56" s="260">
        <f>((I56-R56)/I56)*100%</f>
        <v>4.9968972295800287E-2</v>
      </c>
      <c r="U56" s="261">
        <v>3.274</v>
      </c>
      <c r="V56" s="239">
        <f>U56*$X$31</f>
        <v>3.9287999999999998</v>
      </c>
      <c r="W56" s="262">
        <f>V56*$R$33</f>
        <v>184.78325039999999</v>
      </c>
      <c r="X56" s="263">
        <f>(ROUND(W56/(1-$AA$52),0))</f>
        <v>215</v>
      </c>
      <c r="Y56" s="239">
        <f>Z56*(1-$X$33)</f>
        <v>207.06</v>
      </c>
      <c r="Z56" s="263">
        <f>ROUND(X56/(1-$X$32),0)</f>
        <v>406</v>
      </c>
      <c r="AA56" s="264">
        <f>((X56-W56)/X56)*100%</f>
        <v>0.14054302139534891</v>
      </c>
      <c r="AB56" s="241">
        <f>((Y56-W56)/Y56)*100%</f>
        <v>0.10758596348884389</v>
      </c>
      <c r="AC56" s="242">
        <f>((N56/Y56)-1)*100%</f>
        <v>6.2493963102482342E-2</v>
      </c>
      <c r="AD56" s="266">
        <f>((N56*0.96-W56)/(N56*0.96))*100%</f>
        <v>0.12507930681818183</v>
      </c>
      <c r="AE56" s="261">
        <f>N56/$R$33</f>
        <v>4.6775668147896159</v>
      </c>
      <c r="AF56" s="262">
        <f>(V56/(1-$AA$52))</f>
        <v>4.5683720930232559</v>
      </c>
      <c r="AG56" s="1869">
        <v>8.65</v>
      </c>
      <c r="AH56" s="267">
        <f>((AF56-V56)/AF56)*100%</f>
        <v>0.14000000000000004</v>
      </c>
      <c r="AI56" s="77">
        <f>AJ56/$AJ$57</f>
        <v>0.10419574082464884</v>
      </c>
      <c r="AJ56" s="333">
        <f>VLOOKUP($B56,[1]Статистика!$B:$D,3,FALSE)</f>
        <v>5749</v>
      </c>
      <c r="AK56" s="270">
        <f>AJ56*Q56*S56</f>
        <v>-368.79153523172926</v>
      </c>
      <c r="AL56" s="77">
        <f>AK56/$AK$57</f>
        <v>5.811213709842436E-2</v>
      </c>
      <c r="AM56" s="77">
        <f>AJ56/$AJ$111</f>
        <v>1.9488598034529632E-2</v>
      </c>
      <c r="AN56" s="77">
        <f>AK56/$AK$111</f>
        <v>3.8422758688479691E-2</v>
      </c>
      <c r="AO56" s="77">
        <f>AJ56/$AJ$23</f>
        <v>2.7015685450768154E-3</v>
      </c>
      <c r="AP56" s="77">
        <f>AK56/$AK$23</f>
        <v>3.1811952968472772E-3</v>
      </c>
    </row>
    <row r="57" spans="1:42" ht="15.75" thickBot="1">
      <c r="A57" s="149" t="s">
        <v>57</v>
      </c>
      <c r="B57" s="157"/>
      <c r="C57" s="157" t="s">
        <v>1117</v>
      </c>
      <c r="O57" s="298">
        <f>AVERAGE(O51:O56)</f>
        <v>0.2396722448213793</v>
      </c>
      <c r="P57" s="298">
        <f>AVERAGE(P54:P56)</f>
        <v>0.13866805642740512</v>
      </c>
      <c r="S57" s="364" t="s">
        <v>973</v>
      </c>
      <c r="T57" s="365" t="s">
        <v>973</v>
      </c>
      <c r="U57" s="366"/>
      <c r="V57" s="366"/>
      <c r="W57" s="366"/>
      <c r="X57" s="366"/>
      <c r="Y57" s="366"/>
      <c r="Z57" s="366"/>
      <c r="AA57" s="367"/>
      <c r="AB57" s="367"/>
      <c r="AC57" s="367"/>
      <c r="AD57" s="367">
        <f>AVERAGE(AD54:AD56)</f>
        <v>9.5889357046070378E-2</v>
      </c>
      <c r="AE57" s="366"/>
      <c r="AF57" s="366"/>
      <c r="AG57" s="1872"/>
      <c r="AH57" s="367"/>
      <c r="AI57" s="303">
        <f>S54*AI54+S55*AI55+S56*AI56</f>
        <v>-5.5511966257594782E-2</v>
      </c>
      <c r="AJ57" s="304">
        <f>SUM(AJ54:AJ56)</f>
        <v>55175</v>
      </c>
      <c r="AK57" s="305">
        <f>SUM(AK54:AK56)</f>
        <v>-6346.2050037345571</v>
      </c>
      <c r="AL57" s="16"/>
      <c r="AM57" s="307">
        <f>SUM(AM54:AM56)</f>
        <v>0.18703833650290005</v>
      </c>
      <c r="AN57" s="307">
        <f>SUM(AN54:AN56)</f>
        <v>0.66118302659224482</v>
      </c>
      <c r="AO57" s="308">
        <f>SUM(AO54:AO56)</f>
        <v>2.5927821268849068E-2</v>
      </c>
      <c r="AP57" s="308">
        <f>SUM(AP54:AP56)</f>
        <v>5.4742355998012873E-2</v>
      </c>
    </row>
    <row r="58" spans="1:42" ht="15.75" thickBot="1">
      <c r="A58" s="187"/>
      <c r="C58" s="148" t="s">
        <v>25</v>
      </c>
      <c r="K58" s="2309" t="s">
        <v>1119</v>
      </c>
      <c r="L58" s="2309"/>
      <c r="M58" s="2309"/>
      <c r="N58" s="2309"/>
      <c r="O58" s="2309"/>
      <c r="P58" s="1852"/>
      <c r="T58" s="368"/>
      <c r="U58" s="2310" t="s">
        <v>1089</v>
      </c>
      <c r="V58" s="2310"/>
      <c r="W58" s="2310"/>
      <c r="X58" s="2310"/>
      <c r="Y58" s="2310"/>
      <c r="Z58" s="2310"/>
      <c r="AA58" s="2310"/>
      <c r="AB58" s="1851"/>
      <c r="AC58" s="1851"/>
      <c r="AD58" s="1851"/>
      <c r="AE58" s="188"/>
      <c r="AF58" s="188"/>
      <c r="AG58" s="1866"/>
      <c r="AH58" s="1851"/>
      <c r="AI58" s="16"/>
      <c r="AJ58" s="311"/>
      <c r="AK58" s="312"/>
      <c r="AL58" s="16"/>
      <c r="AO58" s="13"/>
      <c r="AP58" s="13"/>
    </row>
    <row r="59" spans="1:42" ht="108.75" thickBot="1">
      <c r="A59" s="187"/>
      <c r="B59" s="369" t="s">
        <v>10</v>
      </c>
      <c r="C59" s="370" t="s">
        <v>11</v>
      </c>
      <c r="D59" s="370" t="s">
        <v>12</v>
      </c>
      <c r="E59" s="370" t="s">
        <v>13</v>
      </c>
      <c r="F59" s="370" t="s">
        <v>14</v>
      </c>
      <c r="G59" s="371" t="s">
        <v>15</v>
      </c>
      <c r="H59" s="372" t="s">
        <v>1090</v>
      </c>
      <c r="I59" s="372">
        <f>$C$4</f>
        <v>0.49</v>
      </c>
      <c r="J59" s="373">
        <f>$C$4</f>
        <v>0.49</v>
      </c>
      <c r="K59" s="314" t="s">
        <v>15</v>
      </c>
      <c r="L59" s="315" t="s">
        <v>12</v>
      </c>
      <c r="M59" s="316" t="s">
        <v>1091</v>
      </c>
      <c r="N59" s="349" t="s">
        <v>993</v>
      </c>
      <c r="O59" s="317" t="s">
        <v>1092</v>
      </c>
      <c r="P59" s="374" t="s">
        <v>1092</v>
      </c>
      <c r="Q59" s="200" t="s">
        <v>1093</v>
      </c>
      <c r="R59" s="201" t="s">
        <v>1094</v>
      </c>
      <c r="S59" s="350" t="s">
        <v>1095</v>
      </c>
      <c r="T59" s="203" t="s">
        <v>1095</v>
      </c>
      <c r="U59" s="204" t="s">
        <v>1096</v>
      </c>
      <c r="V59" s="205" t="s">
        <v>1093</v>
      </c>
      <c r="W59" s="206" t="s">
        <v>1094</v>
      </c>
      <c r="X59" s="207" t="s">
        <v>1097</v>
      </c>
      <c r="Y59" s="208">
        <f>$X$33</f>
        <v>0.49</v>
      </c>
      <c r="Z59" s="207" t="s">
        <v>1098</v>
      </c>
      <c r="AA59" s="209" t="s">
        <v>1099</v>
      </c>
      <c r="AB59" s="209" t="s">
        <v>1100</v>
      </c>
      <c r="AC59" s="210" t="s">
        <v>1092</v>
      </c>
      <c r="AD59" s="211" t="s">
        <v>1101</v>
      </c>
      <c r="AE59" s="212" t="s">
        <v>1102</v>
      </c>
      <c r="AF59" s="208" t="s">
        <v>1103</v>
      </c>
      <c r="AG59" s="1867" t="s">
        <v>1104</v>
      </c>
      <c r="AH59" s="213" t="s">
        <v>1116</v>
      </c>
      <c r="AI59" s="218" t="s">
        <v>1106</v>
      </c>
      <c r="AJ59" s="319" t="s">
        <v>1107</v>
      </c>
      <c r="AK59" s="320" t="s">
        <v>1108</v>
      </c>
      <c r="AL59" s="219" t="s">
        <v>1109</v>
      </c>
      <c r="AM59" s="218" t="s">
        <v>1110</v>
      </c>
      <c r="AN59" s="219" t="s">
        <v>1111</v>
      </c>
      <c r="AO59" s="220" t="s">
        <v>1112</v>
      </c>
      <c r="AP59" s="221" t="s">
        <v>1113</v>
      </c>
    </row>
    <row r="60" spans="1:42" ht="15.75">
      <c r="A60" s="187"/>
      <c r="B60" s="375" t="s">
        <v>315</v>
      </c>
      <c r="C60" s="376" t="s">
        <v>190</v>
      </c>
      <c r="D60" s="377">
        <v>164</v>
      </c>
      <c r="E60" s="376">
        <v>20</v>
      </c>
      <c r="F60" s="377">
        <v>100</v>
      </c>
      <c r="G60" s="378">
        <v>156</v>
      </c>
      <c r="H60" s="379">
        <f>G60*(1+$H$33)</f>
        <v>166.92000000000002</v>
      </c>
      <c r="I60" s="379">
        <f>H60-H60*$J$35</f>
        <v>85.129200000000012</v>
      </c>
      <c r="J60" s="380">
        <f>G60-G60*$J$35</f>
        <v>79.56</v>
      </c>
      <c r="K60" s="321">
        <v>177</v>
      </c>
      <c r="L60" s="322">
        <v>165</v>
      </c>
      <c r="M60" s="335">
        <f>L60/D60*100%</f>
        <v>1.0060975609756098</v>
      </c>
      <c r="N60" s="353">
        <f>K60-(K60*$N$33)</f>
        <v>97.35</v>
      </c>
      <c r="O60" s="324">
        <f>((N60/J60)-1)*100%</f>
        <v>0.22360482654600289</v>
      </c>
      <c r="P60" s="358">
        <f>((N60/I60)-1)*100%</f>
        <v>0.1435559126598156</v>
      </c>
      <c r="Q60" s="381">
        <v>1.66</v>
      </c>
      <c r="R60" s="382">
        <f>Q60*$R$33</f>
        <v>78.074780000000004</v>
      </c>
      <c r="S60" s="383">
        <f>((J60-R60)/J60)*100%</f>
        <v>1.8667923579688262E-2</v>
      </c>
      <c r="T60" s="237">
        <f>((I60-R60)/I60)*100%</f>
        <v>8.2867218298774178E-2</v>
      </c>
      <c r="U60" s="238">
        <v>1.397</v>
      </c>
      <c r="V60" s="239">
        <f>U60*$X$31</f>
        <v>1.6763999999999999</v>
      </c>
      <c r="W60" s="239">
        <f>V60*$R$33</f>
        <v>78.846121199999999</v>
      </c>
      <c r="X60" s="240">
        <f>(ROUND(W60/(1-$AA$33),0))</f>
        <v>93</v>
      </c>
      <c r="Y60" s="239">
        <f>Z60*(1-$X$33)</f>
        <v>89.25</v>
      </c>
      <c r="Z60" s="240">
        <f>ROUND(X60/(1-$X$32),0)</f>
        <v>175</v>
      </c>
      <c r="AA60" s="241">
        <f>((X60-W60)/X60)*100%</f>
        <v>0.15219224516129035</v>
      </c>
      <c r="AB60" s="241">
        <f>((Y60-W60)/Y60)*100%</f>
        <v>0.11657007058823531</v>
      </c>
      <c r="AC60" s="242">
        <f>((N60/Y60)-1)*100%</f>
        <v>9.0756302521008303E-2</v>
      </c>
      <c r="AD60" s="243">
        <f>((N60*0.96-W60)/(N60*0.96))*100%</f>
        <v>0.15632895480225981</v>
      </c>
      <c r="AE60" s="238">
        <f>N60/$R$33</f>
        <v>2.0698233155444048</v>
      </c>
      <c r="AF60" s="239">
        <f>(V60/(1-$AA$33))</f>
        <v>1.9876689589755749</v>
      </c>
      <c r="AG60" s="1868">
        <v>3.95</v>
      </c>
      <c r="AH60" s="244">
        <f>((AF60-V60)/AF60)*100%</f>
        <v>0.15660000000000002</v>
      </c>
      <c r="AI60" s="92">
        <f>AJ60/$AJ$63</f>
        <v>0.80386766518153374</v>
      </c>
      <c r="AJ60" s="338">
        <f>VLOOKUP($B60,[1]Статистика!$B:$D,3,FALSE)</f>
        <v>59360</v>
      </c>
      <c r="AK60" s="297">
        <f>AJ60*Q60*S60</f>
        <v>1839.49238652589</v>
      </c>
      <c r="AL60" s="92">
        <f>AK60/$AK$63</f>
        <v>-56.481310859600228</v>
      </c>
      <c r="AM60" s="50">
        <f>AJ60/$AJ$111</f>
        <v>0.20122511381626004</v>
      </c>
      <c r="AN60" s="50">
        <f>AK60/$AK$111</f>
        <v>-0.19164857466798771</v>
      </c>
      <c r="AO60" s="77">
        <f>AJ60/$AJ$23</f>
        <v>2.7894435351497611E-2</v>
      </c>
      <c r="AP60" s="77">
        <f>AK60/$AK$23</f>
        <v>-1.5867458901749412E-2</v>
      </c>
    </row>
    <row r="61" spans="1:42" ht="15.75">
      <c r="A61" s="271"/>
      <c r="B61" s="384" t="s">
        <v>316</v>
      </c>
      <c r="C61" s="250" t="s">
        <v>192</v>
      </c>
      <c r="D61" s="251">
        <v>251</v>
      </c>
      <c r="E61" s="250">
        <v>16</v>
      </c>
      <c r="F61" s="251">
        <v>80</v>
      </c>
      <c r="G61" s="328">
        <v>226</v>
      </c>
      <c r="H61" s="357">
        <f>G61*(1+$H$33)</f>
        <v>241.82000000000002</v>
      </c>
      <c r="I61" s="357">
        <f>H61-H61*$J$35</f>
        <v>123.32820000000001</v>
      </c>
      <c r="J61" s="253">
        <f>G61-G61*$J$35</f>
        <v>115.26</v>
      </c>
      <c r="K61" s="321">
        <v>259</v>
      </c>
      <c r="L61" s="322">
        <v>250</v>
      </c>
      <c r="M61" s="323">
        <f>L61/D61*100%</f>
        <v>0.99601593625498008</v>
      </c>
      <c r="N61" s="353">
        <f>K61-(K61*$N$33)</f>
        <v>142.44999999999999</v>
      </c>
      <c r="O61" s="329">
        <f>((N61/J61)-1)*100%</f>
        <v>0.23590144022210646</v>
      </c>
      <c r="P61" s="330">
        <f>((N61/I61)-1)*100%</f>
        <v>0.15504807497393114</v>
      </c>
      <c r="Q61" s="385">
        <v>2.6657571714476318</v>
      </c>
      <c r="R61" s="382">
        <f>Q61*$R$33</f>
        <v>125.37855704469646</v>
      </c>
      <c r="S61" s="386">
        <f>((J61-R61)/J61)*100%</f>
        <v>-8.7788973145032603E-2</v>
      </c>
      <c r="T61" s="260">
        <f>((I61-R61)/I61)*100%</f>
        <v>-1.6625208546759414E-2</v>
      </c>
      <c r="U61" s="261">
        <v>2.2280000000000002</v>
      </c>
      <c r="V61" s="239">
        <f>U61*$X$31</f>
        <v>2.6736</v>
      </c>
      <c r="W61" s="262">
        <f>V61*$R$33</f>
        <v>125.74742880000001</v>
      </c>
      <c r="X61" s="263">
        <f>(ROUND(W61/(1-$AA$33),0))</f>
        <v>149</v>
      </c>
      <c r="Y61" s="239">
        <f>Z61*(1-$X$33)</f>
        <v>143.31</v>
      </c>
      <c r="Z61" s="263">
        <f>ROUND(X61/(1-$X$32),0)</f>
        <v>281</v>
      </c>
      <c r="AA61" s="264">
        <f>((X61-W61)/X61)*100%</f>
        <v>0.15605752483221472</v>
      </c>
      <c r="AB61" s="241">
        <f>((Y61-W61)/Y61)*100%</f>
        <v>0.12254951643290764</v>
      </c>
      <c r="AC61" s="265">
        <f>((N61/Y61)-1)*100%</f>
        <v>-6.0009769032168814E-3</v>
      </c>
      <c r="AD61" s="266">
        <f>((N61*0.96-W61)/(N61*0.96))*100%</f>
        <v>8.047100737100718E-2</v>
      </c>
      <c r="AE61" s="261">
        <f>N61/$R$33</f>
        <v>3.0287245125762761</v>
      </c>
      <c r="AF61" s="262">
        <f>(V61/(1-$AA$33))</f>
        <v>3.1700260848944746</v>
      </c>
      <c r="AG61" s="1869">
        <v>5.85</v>
      </c>
      <c r="AH61" s="267">
        <f>((AF61-V61)/AF61)*100%</f>
        <v>0.15659999999999996</v>
      </c>
      <c r="AI61" s="77">
        <f>AJ61/$AJ$63</f>
        <v>0.1348536760424143</v>
      </c>
      <c r="AJ61" s="333">
        <f>VLOOKUP($B61,[1]Статистика!$B:$D,3,FALSE)</f>
        <v>9958</v>
      </c>
      <c r="AK61" s="270">
        <f>AJ61*Q61*S61</f>
        <v>-2330.4118357950556</v>
      </c>
      <c r="AL61" s="77">
        <f>AK61/$AK$63</f>
        <v>71.554911720521886</v>
      </c>
      <c r="AM61" s="77">
        <f>AJ61/$AJ$111</f>
        <v>3.3756733210618554E-2</v>
      </c>
      <c r="AN61" s="77">
        <f>AK61/$AK$111</f>
        <v>0.2427953004812532</v>
      </c>
      <c r="AO61" s="77">
        <f>AJ61/$AJ$23</f>
        <v>4.679460701317608E-3</v>
      </c>
      <c r="AP61" s="77">
        <f>AK61/$AK$23</f>
        <v>2.0102129424120888E-2</v>
      </c>
    </row>
    <row r="62" spans="1:42" ht="16.5" thickBot="1">
      <c r="A62" s="187"/>
      <c r="B62" s="387" t="s">
        <v>317</v>
      </c>
      <c r="C62" s="275" t="s">
        <v>194</v>
      </c>
      <c r="D62" s="276">
        <v>381</v>
      </c>
      <c r="E62" s="275">
        <v>12</v>
      </c>
      <c r="F62" s="276">
        <v>56</v>
      </c>
      <c r="G62" s="339">
        <v>384</v>
      </c>
      <c r="H62" s="360">
        <f>G62*(1+$H$33)</f>
        <v>410.88</v>
      </c>
      <c r="I62" s="360">
        <f>H62-H62*$J$35</f>
        <v>209.5488</v>
      </c>
      <c r="J62" s="361">
        <f>G62-G62*$J$35</f>
        <v>195.84</v>
      </c>
      <c r="K62" s="340">
        <v>431</v>
      </c>
      <c r="L62" s="341">
        <v>400</v>
      </c>
      <c r="M62" s="342">
        <f>L62/D62*100%</f>
        <v>1.0498687664041995</v>
      </c>
      <c r="N62" s="362">
        <f>K62-(K62*$N$33)</f>
        <v>237.04999999999998</v>
      </c>
      <c r="O62" s="363">
        <f>((N62/J62)-1)*100%</f>
        <v>0.21042687908496727</v>
      </c>
      <c r="P62" s="388">
        <f>((N62/I62)-1)*100%</f>
        <v>0.13124007391118431</v>
      </c>
      <c r="Q62" s="389">
        <v>4.0599999999999996</v>
      </c>
      <c r="R62" s="390">
        <f>Q62*$R$33</f>
        <v>190.95397999999997</v>
      </c>
      <c r="S62" s="391">
        <f>((J62-R62)/J62)*100%</f>
        <v>2.4949040032679892E-2</v>
      </c>
      <c r="T62" s="260">
        <f>((I62-R62)/I62)*100%</f>
        <v>8.8737420591289598E-2</v>
      </c>
      <c r="U62" s="261">
        <v>3.4220000000000002</v>
      </c>
      <c r="V62" s="239">
        <f>U62*$X$31</f>
        <v>4.1063999999999998</v>
      </c>
      <c r="W62" s="262">
        <f>V62*$R$33</f>
        <v>193.13631119999999</v>
      </c>
      <c r="X62" s="263">
        <f>(ROUND(W62/(1-$AA$33),0))</f>
        <v>229</v>
      </c>
      <c r="Y62" s="239">
        <f>Z62*(1-$X$33)</f>
        <v>220.32</v>
      </c>
      <c r="Z62" s="263">
        <f>ROUND(X62/(1-$X$32),0)</f>
        <v>432</v>
      </c>
      <c r="AA62" s="264">
        <f>((X62-W62)/X62)*100%</f>
        <v>0.15660999475982534</v>
      </c>
      <c r="AB62" s="241">
        <f>((Y62-W62)/Y62)*100%</f>
        <v>0.1233827559912854</v>
      </c>
      <c r="AC62" s="242">
        <f>((N62/Y62)-1)*100%</f>
        <v>7.5935003631081965E-2</v>
      </c>
      <c r="AD62" s="266">
        <f>((N62*0.96-W62)/(N62*0.96))*100%</f>
        <v>0.15130285804682553</v>
      </c>
      <c r="AE62" s="261">
        <f>N62/$R$33</f>
        <v>5.0400782429358104</v>
      </c>
      <c r="AF62" s="262">
        <f>(V62/(1-$AA$33))</f>
        <v>4.8688641214133268</v>
      </c>
      <c r="AG62" s="1869">
        <v>9.15</v>
      </c>
      <c r="AH62" s="267">
        <f>((AF62-V62)/AF62)*100%</f>
        <v>0.15659999999999999</v>
      </c>
      <c r="AI62" s="77">
        <f>AJ62/$AJ$63</f>
        <v>6.1278658776051896E-2</v>
      </c>
      <c r="AJ62" s="333">
        <f>VLOOKUP($B62,[1]Статистика!$B:$D,3,FALSE)</f>
        <v>4525</v>
      </c>
      <c r="AK62" s="270">
        <f>AJ62*Q62*S62</f>
        <v>458.35128896037867</v>
      </c>
      <c r="AL62" s="77">
        <f>AK62/$AK$63</f>
        <v>-14.073600860921657</v>
      </c>
      <c r="AM62" s="77">
        <f>AJ62/$AJ$111</f>
        <v>1.5339347035353381E-2</v>
      </c>
      <c r="AN62" s="77">
        <f>AK62/$AK$111</f>
        <v>-4.7753593257535996E-2</v>
      </c>
      <c r="AO62" s="77">
        <f>AJ62/$AJ$23</f>
        <v>2.1263867918720801E-3</v>
      </c>
      <c r="AP62" s="77">
        <f>AK62/$AK$23</f>
        <v>-3.9537376144722176E-3</v>
      </c>
    </row>
    <row r="63" spans="1:42" ht="15.75" thickBot="1">
      <c r="A63" s="149" t="s">
        <v>58</v>
      </c>
      <c r="B63" s="157"/>
      <c r="C63" s="157" t="s">
        <v>1117</v>
      </c>
      <c r="O63" s="298">
        <f>AVERAGE(O57:O62)</f>
        <v>0.22740134766861397</v>
      </c>
      <c r="P63" s="298">
        <f>AVERAGE(P60:P62)</f>
        <v>0.14328135384831034</v>
      </c>
      <c r="R63" s="392"/>
      <c r="S63" s="364" t="s">
        <v>973</v>
      </c>
      <c r="T63" s="393" t="s">
        <v>973</v>
      </c>
      <c r="U63" s="366"/>
      <c r="V63" s="366"/>
      <c r="W63" s="366"/>
      <c r="X63" s="366"/>
      <c r="Y63" s="366"/>
      <c r="Z63" s="366"/>
      <c r="AA63" s="367"/>
      <c r="AB63" s="367"/>
      <c r="AC63" s="367"/>
      <c r="AD63" s="367">
        <f>AVERAGE(AD60:AD62)</f>
        <v>0.12936760674003084</v>
      </c>
      <c r="AE63" s="366"/>
      <c r="AF63" s="366"/>
      <c r="AG63" s="1872"/>
      <c r="AH63" s="367"/>
      <c r="AI63" s="303">
        <f>S60*AI60+S61*AI61+S62*AI62</f>
        <v>4.6967181081475178E-3</v>
      </c>
      <c r="AJ63" s="304">
        <f>SUM(AJ60:AJ62)</f>
        <v>73843</v>
      </c>
      <c r="AK63" s="305">
        <f>SUM(AK60:AK62)</f>
        <v>-32.568160308786958</v>
      </c>
      <c r="AL63" s="16"/>
      <c r="AM63" s="307">
        <f>SUM(AM60:AM62)</f>
        <v>0.25032119406223197</v>
      </c>
      <c r="AN63" s="307">
        <f>SUM(AN60:AN62)</f>
        <v>3.3931325557294903E-3</v>
      </c>
      <c r="AO63" s="308">
        <f>SUM(AO60:AO62)</f>
        <v>3.4700282844687298E-2</v>
      </c>
      <c r="AP63" s="308">
        <f>SUM(AP60:AP62)</f>
        <v>2.8093290789925774E-4</v>
      </c>
    </row>
    <row r="64" spans="1:42" ht="15.75" thickBot="1">
      <c r="A64" s="187"/>
      <c r="C64" s="148" t="s">
        <v>27</v>
      </c>
      <c r="K64" s="2309" t="s">
        <v>1120</v>
      </c>
      <c r="L64" s="2309"/>
      <c r="M64" s="2309"/>
      <c r="N64" s="2309"/>
      <c r="O64" s="2309"/>
      <c r="P64" s="1852"/>
      <c r="T64" s="2310" t="s">
        <v>1089</v>
      </c>
      <c r="U64" s="2310"/>
      <c r="V64" s="2310"/>
      <c r="W64" s="2310"/>
      <c r="X64" s="309"/>
      <c r="Y64" s="309"/>
      <c r="Z64" s="309"/>
      <c r="AA64" s="310">
        <v>0.19</v>
      </c>
      <c r="AB64" s="1851"/>
      <c r="AC64" s="1851"/>
      <c r="AD64" s="1851"/>
      <c r="AE64" s="188"/>
      <c r="AF64" s="188"/>
      <c r="AG64" s="1866"/>
      <c r="AH64" s="1851"/>
      <c r="AI64" s="16"/>
      <c r="AJ64" s="311"/>
      <c r="AK64" s="312"/>
      <c r="AL64" s="16"/>
      <c r="AO64" s="13"/>
      <c r="AP64" s="13"/>
    </row>
    <row r="65" spans="1:42" ht="108.75" thickBot="1">
      <c r="A65" s="187"/>
      <c r="B65" s="369" t="s">
        <v>10</v>
      </c>
      <c r="C65" s="370" t="s">
        <v>11</v>
      </c>
      <c r="D65" s="370" t="s">
        <v>12</v>
      </c>
      <c r="E65" s="370" t="s">
        <v>13</v>
      </c>
      <c r="F65" s="370" t="s">
        <v>14</v>
      </c>
      <c r="G65" s="371" t="s">
        <v>15</v>
      </c>
      <c r="H65" s="372" t="s">
        <v>1090</v>
      </c>
      <c r="I65" s="372">
        <f>$C$4</f>
        <v>0.49</v>
      </c>
      <c r="J65" s="394">
        <f>$C$4</f>
        <v>0.49</v>
      </c>
      <c r="K65" s="314" t="s">
        <v>15</v>
      </c>
      <c r="L65" s="315" t="s">
        <v>12</v>
      </c>
      <c r="M65" s="316" t="s">
        <v>1091</v>
      </c>
      <c r="N65" s="349" t="s">
        <v>993</v>
      </c>
      <c r="O65" s="317" t="s">
        <v>1092</v>
      </c>
      <c r="P65" s="199" t="s">
        <v>1092</v>
      </c>
      <c r="Q65" s="200" t="s">
        <v>1093</v>
      </c>
      <c r="R65" s="201" t="s">
        <v>1094</v>
      </c>
      <c r="S65" s="350" t="s">
        <v>1095</v>
      </c>
      <c r="T65" s="203" t="s">
        <v>1095</v>
      </c>
      <c r="U65" s="204" t="s">
        <v>1096</v>
      </c>
      <c r="V65" s="205" t="s">
        <v>1093</v>
      </c>
      <c r="W65" s="206" t="s">
        <v>1094</v>
      </c>
      <c r="X65" s="207" t="s">
        <v>1097</v>
      </c>
      <c r="Y65" s="208">
        <f>$X$33</f>
        <v>0.49</v>
      </c>
      <c r="Z65" s="207" t="s">
        <v>1098</v>
      </c>
      <c r="AA65" s="209" t="s">
        <v>1099</v>
      </c>
      <c r="AB65" s="209" t="s">
        <v>1100</v>
      </c>
      <c r="AC65" s="210" t="s">
        <v>1092</v>
      </c>
      <c r="AD65" s="211" t="s">
        <v>1101</v>
      </c>
      <c r="AE65" s="212" t="s">
        <v>1102</v>
      </c>
      <c r="AF65" s="208" t="s">
        <v>1103</v>
      </c>
      <c r="AG65" s="1867" t="s">
        <v>1104</v>
      </c>
      <c r="AH65" s="213" t="s">
        <v>1116</v>
      </c>
      <c r="AI65" s="218" t="s">
        <v>1106</v>
      </c>
      <c r="AJ65" s="319" t="s">
        <v>1107</v>
      </c>
      <c r="AK65" s="320" t="s">
        <v>1108</v>
      </c>
      <c r="AL65" s="219" t="s">
        <v>1109</v>
      </c>
      <c r="AM65" s="218" t="s">
        <v>1110</v>
      </c>
      <c r="AN65" s="219" t="s">
        <v>1111</v>
      </c>
      <c r="AO65" s="220" t="s">
        <v>1112</v>
      </c>
      <c r="AP65" s="221" t="s">
        <v>1113</v>
      </c>
    </row>
    <row r="66" spans="1:42" ht="15.75">
      <c r="A66" s="271"/>
      <c r="B66" s="395" t="s">
        <v>318</v>
      </c>
      <c r="C66" s="223" t="s">
        <v>190</v>
      </c>
      <c r="D66" s="224">
        <v>185</v>
      </c>
      <c r="E66" s="223">
        <v>20</v>
      </c>
      <c r="F66" s="224">
        <v>100</v>
      </c>
      <c r="G66" s="396">
        <v>160</v>
      </c>
      <c r="H66" s="397">
        <f>G66*(1+$H$33)</f>
        <v>171.20000000000002</v>
      </c>
      <c r="I66" s="397">
        <f>H66-H66*$J$35</f>
        <v>87.312000000000012</v>
      </c>
      <c r="J66" s="227">
        <f>G66-G66*$J$35</f>
        <v>81.599999999999994</v>
      </c>
      <c r="K66" s="398">
        <v>188</v>
      </c>
      <c r="L66" s="322">
        <v>175</v>
      </c>
      <c r="M66" s="323">
        <f>L66/D66*100%</f>
        <v>0.94594594594594594</v>
      </c>
      <c r="N66" s="353">
        <f>K66-(K66*$N$33)</f>
        <v>103.39999999999999</v>
      </c>
      <c r="O66" s="324">
        <f>((N66/J66)-1)*100%</f>
        <v>0.26715686274509798</v>
      </c>
      <c r="P66" s="325">
        <f>((N66/I66)-1)*100%</f>
        <v>0.18425875022906335</v>
      </c>
      <c r="Q66" s="385">
        <v>1.7300000000000002</v>
      </c>
      <c r="R66" s="382">
        <f>Q66*$R$33</f>
        <v>81.367090000000019</v>
      </c>
      <c r="S66" s="383">
        <f>((J66-R66)/J66)*100%</f>
        <v>2.8542892156859746E-3</v>
      </c>
      <c r="T66" s="237">
        <f>((I66-R66)/I66)*100%</f>
        <v>6.8088120762323526E-2</v>
      </c>
      <c r="U66" s="238">
        <v>1.4570000000000001</v>
      </c>
      <c r="V66" s="239">
        <f>U66*$X$31</f>
        <v>1.7484</v>
      </c>
      <c r="W66" s="239">
        <f>V66*$R$33</f>
        <v>82.232497199999997</v>
      </c>
      <c r="X66" s="240">
        <f>(ROUND(W66/(1-$AA$64),0))</f>
        <v>102</v>
      </c>
      <c r="Y66" s="239">
        <f>Z66*(1-$X$33)</f>
        <v>97.92</v>
      </c>
      <c r="Z66" s="240">
        <f>ROUND(X66/(1-$X$32),0)</f>
        <v>192</v>
      </c>
      <c r="AA66" s="241">
        <f>((X66-W66)/X66)*100%</f>
        <v>0.19379904705882356</v>
      </c>
      <c r="AB66" s="241">
        <f>((Y66-W66)/Y66)*100%</f>
        <v>0.16020734068627454</v>
      </c>
      <c r="AC66" s="242">
        <f>((N66/Y66)-1)*100%</f>
        <v>5.5964052287581501E-2</v>
      </c>
      <c r="AD66" s="243">
        <f>((N66*0.96-W66)/(N66*0.96))*100%</f>
        <v>0.17157784090909078</v>
      </c>
      <c r="AE66" s="238">
        <f>N66/$R$33</f>
        <v>2.1984564029511193</v>
      </c>
      <c r="AF66" s="239">
        <f>(V66/(1-$AA$64))</f>
        <v>2.1585185185185183</v>
      </c>
      <c r="AG66" s="1868">
        <v>3.9</v>
      </c>
      <c r="AH66" s="244">
        <f>((AF66-V66)/AF66)*100%</f>
        <v>0.18999999999999992</v>
      </c>
      <c r="AI66" s="92">
        <f>AJ66/$AJ$69</f>
        <v>0.83102918586789554</v>
      </c>
      <c r="AJ66" s="338">
        <f>VLOOKUP($B66,[1]Статистика!$B:$D,3,FALSE)</f>
        <v>8115</v>
      </c>
      <c r="AK66" s="297">
        <f>AJ66*Q66*S66</f>
        <v>40.071223584554623</v>
      </c>
      <c r="AL66" s="92">
        <f>AK66/$AK$69</f>
        <v>-9.7752746891475076E-2</v>
      </c>
      <c r="AM66" s="50">
        <f>AJ66/$AJ$111</f>
        <v>2.7509127335224905E-2</v>
      </c>
      <c r="AN66" s="50">
        <f>AK66/$AK$111</f>
        <v>-4.1748435282659762E-3</v>
      </c>
      <c r="AO66" s="77">
        <f>AJ66/$AJ$23</f>
        <v>3.8133986333794326E-3</v>
      </c>
      <c r="AP66" s="77">
        <f>AK66/$AK$23</f>
        <v>-3.4565432182710656E-4</v>
      </c>
    </row>
    <row r="67" spans="1:42" ht="15.75">
      <c r="A67" s="187"/>
      <c r="B67" s="356" t="s">
        <v>319</v>
      </c>
      <c r="C67" s="250" t="s">
        <v>192</v>
      </c>
      <c r="D67" s="251">
        <v>250</v>
      </c>
      <c r="E67" s="250">
        <v>16</v>
      </c>
      <c r="F67" s="251">
        <v>80</v>
      </c>
      <c r="G67" s="328">
        <v>270</v>
      </c>
      <c r="H67" s="357">
        <f>G67*(1+$H$33)</f>
        <v>288.90000000000003</v>
      </c>
      <c r="I67" s="357">
        <f>H67-H67*$J$35</f>
        <v>147.33900000000003</v>
      </c>
      <c r="J67" s="253">
        <f>G67-G67*$J$35</f>
        <v>137.69999999999999</v>
      </c>
      <c r="K67" s="398">
        <v>321</v>
      </c>
      <c r="L67" s="322">
        <v>278</v>
      </c>
      <c r="M67" s="335">
        <f>L67/D67*100%</f>
        <v>1.1120000000000001</v>
      </c>
      <c r="N67" s="353">
        <f>K67-(K67*$N$33)</f>
        <v>176.54999999999998</v>
      </c>
      <c r="O67" s="329">
        <f>((N67/J67)-1)*100%</f>
        <v>0.28213507625272327</v>
      </c>
      <c r="P67" s="330">
        <f>((N67/I67)-1)*100%</f>
        <v>0.19825708061002145</v>
      </c>
      <c r="Q67" s="381">
        <v>2.843578947368421</v>
      </c>
      <c r="R67" s="382">
        <f>Q67*$R$33</f>
        <v>133.74204863157894</v>
      </c>
      <c r="S67" s="386">
        <f>((J67-R67)/J67)*100%</f>
        <v>2.8743292435882715E-2</v>
      </c>
      <c r="T67" s="260">
        <f>((I67-R67)/I67)*100%</f>
        <v>9.2283450874656989E-2</v>
      </c>
      <c r="U67" s="261">
        <v>2.1840000000000002</v>
      </c>
      <c r="V67" s="239">
        <f>U67*$X$31</f>
        <v>2.6208</v>
      </c>
      <c r="W67" s="262">
        <f>V67*$R$33</f>
        <v>123.26408640000001</v>
      </c>
      <c r="X67" s="263">
        <f>(ROUND(W67/(1-$AA$64),0))</f>
        <v>152</v>
      </c>
      <c r="Y67" s="239">
        <f>Z67*(1-$X$33)</f>
        <v>146.37</v>
      </c>
      <c r="Z67" s="263">
        <f>ROUND(X67/(1-$X$32),0)</f>
        <v>287</v>
      </c>
      <c r="AA67" s="264">
        <f>((X67-W67)/X67)*100%</f>
        <v>0.18905206315789466</v>
      </c>
      <c r="AB67" s="241">
        <f>((Y67-W67)/Y67)*100%</f>
        <v>0.15785962697274028</v>
      </c>
      <c r="AC67" s="242">
        <f>((N67/Y67)-1)*100%</f>
        <v>0.20618979299036666</v>
      </c>
      <c r="AD67" s="266">
        <f>((N67*0.96-W67)/(N67*0.96))*100%</f>
        <v>0.27272676295666931</v>
      </c>
      <c r="AE67" s="261">
        <f>N67/$R$33</f>
        <v>3.753747368868666</v>
      </c>
      <c r="AF67" s="262">
        <f>(V67/(1-$AA$64))</f>
        <v>3.2355555555555555</v>
      </c>
      <c r="AG67" s="1869">
        <v>6.55</v>
      </c>
      <c r="AH67" s="267">
        <f>((AF67-V67)/AF67)*100%</f>
        <v>0.18999999999999997</v>
      </c>
      <c r="AI67" s="65">
        <f>AJ67/$AJ$69</f>
        <v>0.11582181259600614</v>
      </c>
      <c r="AJ67" s="399">
        <f>VLOOKUP($B67,[1]Статистика!$B:$D,3,FALSE)</f>
        <v>1131</v>
      </c>
      <c r="AK67" s="400">
        <f>AJ67*Q67*S67</f>
        <v>92.440951832313701</v>
      </c>
      <c r="AL67" s="65">
        <f>AK67/$AK$69</f>
        <v>-0.22550738805875264</v>
      </c>
      <c r="AM67" s="77">
        <f>AJ67/$AJ$111</f>
        <v>3.8339892811015855E-3</v>
      </c>
      <c r="AN67" s="77">
        <f>AK67/$AK$111</f>
        <v>-9.6310138543569783E-3</v>
      </c>
      <c r="AO67" s="77">
        <f>AJ67/$AJ$23</f>
        <v>5.314792180347675E-4</v>
      </c>
      <c r="AP67" s="77">
        <f>AK67/$AK$23</f>
        <v>-7.9739552866977311E-4</v>
      </c>
    </row>
    <row r="68" spans="1:42" ht="16.5" thickBot="1">
      <c r="A68" s="187"/>
      <c r="B68" s="401" t="s">
        <v>320</v>
      </c>
      <c r="C68" s="402" t="s">
        <v>194</v>
      </c>
      <c r="D68" s="403">
        <v>410</v>
      </c>
      <c r="E68" s="402">
        <v>12</v>
      </c>
      <c r="F68" s="403">
        <v>56</v>
      </c>
      <c r="G68" s="403">
        <v>384</v>
      </c>
      <c r="H68" s="360">
        <f>G68*(1+$H$33)</f>
        <v>410.88</v>
      </c>
      <c r="I68" s="360">
        <f>H68-H68*$J$35</f>
        <v>209.5488</v>
      </c>
      <c r="J68" s="404">
        <f>G68-G68*$J$35</f>
        <v>195.84</v>
      </c>
      <c r="K68" s="405">
        <v>497</v>
      </c>
      <c r="L68" s="406">
        <v>429</v>
      </c>
      <c r="M68" s="407">
        <f>L68/D68*100%</f>
        <v>1.0463414634146342</v>
      </c>
      <c r="N68" s="408">
        <f>K68-(K68*$N$33)</f>
        <v>273.35000000000002</v>
      </c>
      <c r="O68" s="409">
        <f>((N68/J68)-1)*100%</f>
        <v>0.39578227124183019</v>
      </c>
      <c r="P68" s="388">
        <f>((N68/I68)-1)*100%</f>
        <v>0.30446941237554226</v>
      </c>
      <c r="Q68" s="410">
        <v>5.0292119866814655</v>
      </c>
      <c r="R68" s="408">
        <f>Q68*$R$33</f>
        <v>236.53892736958937</v>
      </c>
      <c r="S68" s="411">
        <f>((J68-R68)/J68)*100%</f>
        <v>-0.20781723534308297</v>
      </c>
      <c r="T68" s="260">
        <f>((I68-R68)/I68)*100%</f>
        <v>-0.1288011545262458</v>
      </c>
      <c r="U68" s="261">
        <v>3.645</v>
      </c>
      <c r="V68" s="239">
        <f>U68*$X$31</f>
        <v>4.3739999999999997</v>
      </c>
      <c r="W68" s="262">
        <f>V68*$R$33</f>
        <v>205.722342</v>
      </c>
      <c r="X68" s="263">
        <f>(ROUND(W68/(1-$AA$64),0))</f>
        <v>254</v>
      </c>
      <c r="Y68" s="239">
        <f>Z68*(1-$X$33)</f>
        <v>244.29</v>
      </c>
      <c r="Z68" s="263">
        <f>ROUND(X68/(1-$X$32),0)</f>
        <v>479</v>
      </c>
      <c r="AA68" s="264">
        <f>((X68-W68)/X68)*100%</f>
        <v>0.19006951968503938</v>
      </c>
      <c r="AB68" s="241">
        <f>((Y68-W68)/Y68)*100%</f>
        <v>0.15787653199066681</v>
      </c>
      <c r="AC68" s="242">
        <f>((N68/Y68)-1)*100%</f>
        <v>0.1189569773629704</v>
      </c>
      <c r="AD68" s="266">
        <f>((N68*0.96-W68)/(N68*0.96))*100%</f>
        <v>0.21604497439180537</v>
      </c>
      <c r="AE68" s="261">
        <f>N68/$R$33</f>
        <v>5.8118767673760976</v>
      </c>
      <c r="AF68" s="262">
        <f>(V68/(1-$AA$64))</f>
        <v>5.3999999999999995</v>
      </c>
      <c r="AG68" s="1869">
        <v>10.25</v>
      </c>
      <c r="AH68" s="267">
        <f>((AF68-V68)/AF68)*100%</f>
        <v>0.18999999999999997</v>
      </c>
      <c r="AI68" s="65">
        <f>AJ68/$AJ$69</f>
        <v>5.3149001536098313E-2</v>
      </c>
      <c r="AJ68" s="399">
        <f>VLOOKUP($B68,[1]Статистика!$B:$D,3,FALSE)</f>
        <v>519</v>
      </c>
      <c r="AK68" s="400">
        <f>AJ68*Q68*S68</f>
        <v>-542.43644720272027</v>
      </c>
      <c r="AL68" s="65">
        <f>AK68/$AK$69</f>
        <v>1.3232601349502278</v>
      </c>
      <c r="AM68" s="77">
        <f>AJ68/$AJ$111</f>
        <v>1.7593637815134597E-3</v>
      </c>
      <c r="AN68" s="77">
        <f>AK68/$AK$111</f>
        <v>5.651405394001361E-2</v>
      </c>
      <c r="AO68" s="77">
        <f>AJ68/$AJ$23</f>
        <v>2.4388834143239992E-4</v>
      </c>
      <c r="AP68" s="77">
        <f>AK68/$AK$23</f>
        <v>4.6790560786476995E-3</v>
      </c>
    </row>
    <row r="69" spans="1:42" ht="15.75" thickBot="1">
      <c r="B69" s="412"/>
      <c r="C69" s="413"/>
      <c r="D69" s="414"/>
      <c r="E69" s="413"/>
      <c r="F69" s="414"/>
      <c r="G69" s="415"/>
      <c r="H69" s="416"/>
      <c r="I69" s="416"/>
      <c r="J69" s="417"/>
      <c r="O69" s="298">
        <f>AVERAGE(O63:O68)</f>
        <v>0.29311888947706632</v>
      </c>
      <c r="P69" s="298">
        <f>AVERAGE(P66:P68)</f>
        <v>0.22899508107154234</v>
      </c>
      <c r="R69" s="392"/>
      <c r="S69" s="299" t="s">
        <v>973</v>
      </c>
      <c r="T69" s="418" t="s">
        <v>973</v>
      </c>
      <c r="U69" s="301"/>
      <c r="V69" s="301"/>
      <c r="W69" s="301"/>
      <c r="X69" s="301"/>
      <c r="Y69" s="301"/>
      <c r="Z69" s="301"/>
      <c r="AA69" s="302"/>
      <c r="AB69" s="302"/>
      <c r="AC69" s="302"/>
      <c r="AD69" s="302">
        <f>AVERAGE(AD66:AD68)</f>
        <v>0.22011652608585516</v>
      </c>
      <c r="AE69" s="301"/>
      <c r="AF69" s="301"/>
      <c r="AG69" s="1871"/>
      <c r="AH69" s="302"/>
      <c r="AI69" s="303">
        <f>S66*AI66+S67*AI67+S68*AI68</f>
        <v>-5.344180687433182E-3</v>
      </c>
      <c r="AJ69" s="304">
        <f>SUM(AJ66:AJ68)</f>
        <v>9765</v>
      </c>
      <c r="AK69" s="305">
        <f>SUM(AK66:AK68)</f>
        <v>-409.92427178585194</v>
      </c>
      <c r="AL69" s="16"/>
      <c r="AM69" s="307">
        <f>SUM(AM66:AM68)</f>
        <v>3.3102480397839945E-2</v>
      </c>
      <c r="AN69" s="307">
        <f>SUM(AN66:AN68)</f>
        <v>4.2708196557390651E-2</v>
      </c>
      <c r="AO69" s="308">
        <f>SUM(AO66:AO68)</f>
        <v>4.5887661928466E-3</v>
      </c>
      <c r="AP69" s="308">
        <f>SUM(AP66:AP68)</f>
        <v>3.5360062281508198E-3</v>
      </c>
    </row>
    <row r="70" spans="1:42">
      <c r="A70" s="2311"/>
      <c r="B70" s="2311"/>
      <c r="C70" s="2311"/>
      <c r="D70" s="2311"/>
      <c r="E70" s="2311"/>
      <c r="F70" s="2311"/>
      <c r="G70" s="2311"/>
      <c r="H70" s="2311"/>
      <c r="I70" s="2311"/>
      <c r="J70" s="2311"/>
      <c r="Q70" s="419">
        <v>1.9870000000000001</v>
      </c>
      <c r="R70" s="420">
        <f>Q70*1.23</f>
        <v>2.44401</v>
      </c>
      <c r="AI70" s="16"/>
      <c r="AJ70" s="311"/>
      <c r="AK70" s="312"/>
      <c r="AL70" s="16"/>
      <c r="AO70" s="13"/>
      <c r="AP70" s="13"/>
    </row>
    <row r="71" spans="1:42">
      <c r="A71" s="149" t="s">
        <v>59</v>
      </c>
      <c r="B71" s="157"/>
      <c r="C71" s="157" t="s">
        <v>1121</v>
      </c>
      <c r="Q71" s="419">
        <v>2.9350000000000001</v>
      </c>
      <c r="R71" s="420">
        <f>Q71*1.23</f>
        <v>3.6100500000000002</v>
      </c>
      <c r="AI71" s="16"/>
      <c r="AJ71" s="311"/>
      <c r="AK71" s="312"/>
      <c r="AL71" s="16"/>
      <c r="AO71" s="13"/>
      <c r="AP71" s="13"/>
    </row>
    <row r="72" spans="1:42" ht="15.75" thickBot="1">
      <c r="A72" s="187"/>
      <c r="C72" s="148" t="s">
        <v>25</v>
      </c>
      <c r="F72" s="158" t="s">
        <v>1077</v>
      </c>
      <c r="G72" s="158"/>
      <c r="H72" s="159"/>
      <c r="I72" s="160"/>
      <c r="J72" s="161"/>
      <c r="K72" s="2309" t="s">
        <v>1122</v>
      </c>
      <c r="L72" s="2309"/>
      <c r="M72" s="2309"/>
      <c r="N72" s="2309"/>
      <c r="O72" s="2309"/>
      <c r="P72" s="1852"/>
      <c r="Q72" s="419">
        <v>4.8259999999999996</v>
      </c>
      <c r="R72" s="420">
        <f>Q72*1.23</f>
        <v>5.9359799999999998</v>
      </c>
      <c r="T72" s="2310" t="s">
        <v>1089</v>
      </c>
      <c r="U72" s="2310"/>
      <c r="V72" s="2310"/>
      <c r="W72" s="309"/>
      <c r="X72" s="309"/>
      <c r="Y72" s="309"/>
      <c r="Z72" s="309"/>
      <c r="AA72" s="346">
        <v>0.12</v>
      </c>
      <c r="AB72" s="421">
        <v>0.25</v>
      </c>
      <c r="AC72" s="1851"/>
      <c r="AD72" s="1851"/>
      <c r="AE72" s="188"/>
      <c r="AF72" s="188"/>
      <c r="AG72" s="1866"/>
      <c r="AH72" s="1851"/>
      <c r="AI72" s="16"/>
      <c r="AJ72" s="311"/>
      <c r="AK72" s="312"/>
      <c r="AL72" s="16"/>
      <c r="AO72" s="13"/>
      <c r="AP72" s="13"/>
    </row>
    <row r="73" spans="1:42" ht="108.75" thickBot="1">
      <c r="A73" s="187"/>
      <c r="B73" s="369" t="s">
        <v>10</v>
      </c>
      <c r="C73" s="370" t="s">
        <v>11</v>
      </c>
      <c r="D73" s="370" t="s">
        <v>12</v>
      </c>
      <c r="E73" s="370" t="s">
        <v>13</v>
      </c>
      <c r="F73" s="370" t="s">
        <v>14</v>
      </c>
      <c r="G73" s="371" t="s">
        <v>15</v>
      </c>
      <c r="H73" s="372" t="s">
        <v>1090</v>
      </c>
      <c r="I73" s="372">
        <f>$C$4</f>
        <v>0.49</v>
      </c>
      <c r="J73" s="394">
        <f>$C$4</f>
        <v>0.49</v>
      </c>
      <c r="K73" s="422" t="s">
        <v>15</v>
      </c>
      <c r="L73" s="423" t="s">
        <v>12</v>
      </c>
      <c r="M73" s="196" t="s">
        <v>1091</v>
      </c>
      <c r="N73" s="349" t="s">
        <v>993</v>
      </c>
      <c r="O73" s="424" t="s">
        <v>1092</v>
      </c>
      <c r="P73" s="199" t="s">
        <v>1092</v>
      </c>
      <c r="Q73" s="200" t="s">
        <v>1093</v>
      </c>
      <c r="R73" s="201" t="s">
        <v>1094</v>
      </c>
      <c r="S73" s="350" t="s">
        <v>1095</v>
      </c>
      <c r="T73" s="203" t="s">
        <v>1095</v>
      </c>
      <c r="U73" s="204" t="s">
        <v>1096</v>
      </c>
      <c r="V73" s="205" t="s">
        <v>1093</v>
      </c>
      <c r="W73" s="206" t="s">
        <v>1094</v>
      </c>
      <c r="X73" s="207" t="s">
        <v>1097</v>
      </c>
      <c r="Y73" s="208">
        <f>$X$33</f>
        <v>0.49</v>
      </c>
      <c r="Z73" s="207" t="s">
        <v>1098</v>
      </c>
      <c r="AA73" s="209" t="s">
        <v>1099</v>
      </c>
      <c r="AB73" s="209" t="s">
        <v>1100</v>
      </c>
      <c r="AC73" s="210" t="s">
        <v>1092</v>
      </c>
      <c r="AD73" s="211" t="s">
        <v>1101</v>
      </c>
      <c r="AE73" s="212" t="s">
        <v>1102</v>
      </c>
      <c r="AF73" s="208" t="s">
        <v>1103</v>
      </c>
      <c r="AG73" s="1867" t="s">
        <v>1104</v>
      </c>
      <c r="AH73" s="213" t="s">
        <v>1116</v>
      </c>
      <c r="AI73" s="218" t="s">
        <v>1106</v>
      </c>
      <c r="AJ73" s="319" t="s">
        <v>1107</v>
      </c>
      <c r="AK73" s="320" t="s">
        <v>1108</v>
      </c>
      <c r="AL73" s="219" t="s">
        <v>1109</v>
      </c>
      <c r="AM73" s="218" t="s">
        <v>1110</v>
      </c>
      <c r="AN73" s="219" t="s">
        <v>1111</v>
      </c>
      <c r="AO73" s="220" t="s">
        <v>1112</v>
      </c>
      <c r="AP73" s="221" t="s">
        <v>1113</v>
      </c>
    </row>
    <row r="74" spans="1:42" ht="15.75">
      <c r="A74" s="187"/>
      <c r="B74" s="395" t="s">
        <v>321</v>
      </c>
      <c r="C74" s="223" t="s">
        <v>190</v>
      </c>
      <c r="D74" s="425">
        <v>206</v>
      </c>
      <c r="E74" s="223">
        <v>10</v>
      </c>
      <c r="F74" s="224">
        <v>70</v>
      </c>
      <c r="G74" s="396">
        <v>200</v>
      </c>
      <c r="H74" s="397">
        <f>G74*(1+$H$33)</f>
        <v>214</v>
      </c>
      <c r="I74" s="397">
        <f t="shared" ref="I74:I79" si="64">H74-H74*$J$35</f>
        <v>109.14</v>
      </c>
      <c r="J74" s="426">
        <f>G74-G74*$J$35</f>
        <v>102</v>
      </c>
      <c r="K74" s="427">
        <v>219</v>
      </c>
      <c r="L74" s="428">
        <v>211</v>
      </c>
      <c r="M74" s="429">
        <f>L74/D74*100%</f>
        <v>1.0242718446601942</v>
      </c>
      <c r="N74" s="353">
        <f>K74-(K74*$N$33)</f>
        <v>120.45</v>
      </c>
      <c r="O74" s="232">
        <f>((N74/J74)-1)*100%</f>
        <v>0.18088235294117649</v>
      </c>
      <c r="P74" s="325">
        <f>((N74/I74)-1)*100%</f>
        <v>0.10362836723474445</v>
      </c>
      <c r="Q74" s="385">
        <v>2.5503428126217371</v>
      </c>
      <c r="R74" s="430">
        <f>Q70*$R$33</f>
        <v>93.454571000000001</v>
      </c>
      <c r="S74" s="383">
        <f>((J74-R74)/J74)*100%</f>
        <v>8.3778715686274499E-2</v>
      </c>
      <c r="T74" s="237">
        <f>((I74-R74)/I74)*100%</f>
        <v>0.1437184258750229</v>
      </c>
      <c r="U74" s="238">
        <v>1.9670000000000001</v>
      </c>
      <c r="V74" s="239">
        <f t="shared" ref="V74:V79" si="65">U74*$X$31</f>
        <v>2.3603999999999998</v>
      </c>
      <c r="W74" s="239">
        <f t="shared" ref="W74:W79" si="66">V74*$R$33</f>
        <v>111.01669319999999</v>
      </c>
      <c r="X74" s="240">
        <f>(ROUND(W74/(1-$AA$72),0))</f>
        <v>126</v>
      </c>
      <c r="Y74" s="239">
        <f t="shared" ref="Y74:Y79" si="67">Z74*(1-$X$33)</f>
        <v>121.38</v>
      </c>
      <c r="Z74" s="240">
        <f t="shared" ref="Z74:Z79" si="68">ROUND(X74/(1-$X$32),0)</f>
        <v>238</v>
      </c>
      <c r="AA74" s="241">
        <f t="shared" ref="AA74:AA79" si="69">((X74-W74)/X74)*100%</f>
        <v>0.11891513333333339</v>
      </c>
      <c r="AB74" s="241">
        <f t="shared" ref="AB74:AB79" si="70">((Y74-W74)/Y74)*100%</f>
        <v>8.5379031141868553E-2</v>
      </c>
      <c r="AC74" s="265">
        <f>((N74/Y74)-1)*100%</f>
        <v>-7.661888284725582E-3</v>
      </c>
      <c r="AD74" s="243">
        <f>((N74*0.96-W74)/(N74*0.96))*100%</f>
        <v>3.9913750518887618E-2</v>
      </c>
      <c r="AE74" s="238">
        <f>N74/$R$33</f>
        <v>2.5609678310973147</v>
      </c>
      <c r="AF74" s="239">
        <f>(V74/(1-$AA$72))</f>
        <v>2.6822727272727271</v>
      </c>
      <c r="AG74" s="1868">
        <v>5</v>
      </c>
      <c r="AH74" s="244">
        <f t="shared" ref="AH74:AH79" si="71">((AF74-V74)/AF74)*100%</f>
        <v>0.12000000000000002</v>
      </c>
      <c r="AI74" s="334">
        <f>AJ74/$AJ$80</f>
        <v>0.34203546726298817</v>
      </c>
      <c r="AJ74" s="431">
        <f>VLOOKUP($B74,[1]Статистика!$B:$D,3,FALSE)</f>
        <v>19731</v>
      </c>
      <c r="AK74" s="432">
        <f>AJ74*Q74*S74</f>
        <v>4215.8131722104881</v>
      </c>
      <c r="AL74" s="334">
        <f>AK74/$AK$80</f>
        <v>0.2613993725242385</v>
      </c>
      <c r="AM74" s="334">
        <f>AJ74/$AJ$111</f>
        <v>6.6886332896034822E-2</v>
      </c>
      <c r="AN74" s="334">
        <f>AK74/$AK$111</f>
        <v>-0.439226925557757</v>
      </c>
      <c r="AO74" s="77">
        <f>AJ74/$AJ$23</f>
        <v>9.2719862520282918E-3</v>
      </c>
      <c r="AP74" s="77">
        <f>AK74/$AK$23</f>
        <v>-3.6365598867110202E-2</v>
      </c>
    </row>
    <row r="75" spans="1:42" ht="15.75">
      <c r="A75" s="271"/>
      <c r="B75" s="356" t="s">
        <v>322</v>
      </c>
      <c r="C75" s="250" t="s">
        <v>192</v>
      </c>
      <c r="D75" s="433">
        <v>320</v>
      </c>
      <c r="E75" s="250">
        <v>8</v>
      </c>
      <c r="F75" s="251">
        <v>55</v>
      </c>
      <c r="G75" s="328">
        <v>286</v>
      </c>
      <c r="H75" s="357">
        <f>G75*(1+$H$33)</f>
        <v>306.02000000000004</v>
      </c>
      <c r="I75" s="357">
        <f t="shared" si="64"/>
        <v>156.07020000000003</v>
      </c>
      <c r="J75" s="434">
        <f>G75-G75*$J$35</f>
        <v>145.86000000000001</v>
      </c>
      <c r="K75" s="321">
        <v>332</v>
      </c>
      <c r="L75" s="435">
        <v>329</v>
      </c>
      <c r="M75" s="436">
        <f>L75/D75*100%</f>
        <v>1.028125</v>
      </c>
      <c r="N75" s="353">
        <f>K75-(K75*$N$33)</f>
        <v>182.6</v>
      </c>
      <c r="O75" s="437">
        <f>((N75/J75)-1)*100%</f>
        <v>0.25188536953242813</v>
      </c>
      <c r="P75" s="438">
        <f>((N75/I75)-1)*100%</f>
        <v>0.16998632666582059</v>
      </c>
      <c r="Q75" s="381">
        <v>3.62</v>
      </c>
      <c r="R75" s="430">
        <f>Q71*$R$33</f>
        <v>138.041855</v>
      </c>
      <c r="S75" s="386">
        <f>((J75-R75)/J75)*100%</f>
        <v>5.3600335938571331E-2</v>
      </c>
      <c r="T75" s="260">
        <f>((I75-R75)/I75)*100%</f>
        <v>0.11551433265287048</v>
      </c>
      <c r="U75" s="261">
        <v>2.9060000000000001</v>
      </c>
      <c r="V75" s="239">
        <f t="shared" si="65"/>
        <v>3.4872000000000001</v>
      </c>
      <c r="W75" s="262">
        <f t="shared" si="66"/>
        <v>164.01347760000002</v>
      </c>
      <c r="X75" s="263">
        <f>(ROUND(W75/(1-$AA$72),0))</f>
        <v>186</v>
      </c>
      <c r="Y75" s="239">
        <f t="shared" si="67"/>
        <v>179.01</v>
      </c>
      <c r="Z75" s="263">
        <f t="shared" si="68"/>
        <v>351</v>
      </c>
      <c r="AA75" s="264">
        <f t="shared" si="69"/>
        <v>0.11820710967741926</v>
      </c>
      <c r="AB75" s="241">
        <f t="shared" si="70"/>
        <v>8.3774774593597987E-2</v>
      </c>
      <c r="AC75" s="265">
        <f>((N75/Y75)-1)*100%</f>
        <v>2.0054745544941577E-2</v>
      </c>
      <c r="AD75" s="266">
        <f>((N75*0.96-W75)/(N75*0.96))*100%</f>
        <v>6.4362691675793948E-2</v>
      </c>
      <c r="AE75" s="261">
        <f>N75/$R$33</f>
        <v>3.882380456275381</v>
      </c>
      <c r="AF75" s="262">
        <f>(V75/(1-$AA$72))</f>
        <v>3.9627272727272729</v>
      </c>
      <c r="AG75" s="1869">
        <v>7.35</v>
      </c>
      <c r="AH75" s="267">
        <f t="shared" si="71"/>
        <v>0.12000000000000001</v>
      </c>
      <c r="AI75" s="92">
        <f>AJ75/$AJ$80</f>
        <v>0.54731568637647998</v>
      </c>
      <c r="AJ75" s="338">
        <f>VLOOKUP($B75,[1]Статистика!$B:$D,3,FALSE)</f>
        <v>31573</v>
      </c>
      <c r="AK75" s="297">
        <f>AJ75*Q75*S75</f>
        <v>6126.2107318504159</v>
      </c>
      <c r="AL75" s="92">
        <f>AK75/$AK$80</f>
        <v>0.37985261107225371</v>
      </c>
      <c r="AM75" s="92">
        <f>AJ75/$AJ$111</f>
        <v>0.10702965833087565</v>
      </c>
      <c r="AN75" s="92">
        <f>AK75/$AK$111</f>
        <v>-0.63826279656001039</v>
      </c>
      <c r="AO75" s="77">
        <f>AJ75/$AJ$23</f>
        <v>1.4836775730337501E-2</v>
      </c>
      <c r="AP75" s="77">
        <f>AK75/$AK$23</f>
        <v>-5.2844685698689366E-2</v>
      </c>
    </row>
    <row r="76" spans="1:42" ht="16.5" thickBot="1">
      <c r="A76" s="187"/>
      <c r="B76" s="439" t="s">
        <v>323</v>
      </c>
      <c r="C76" s="440" t="s">
        <v>194</v>
      </c>
      <c r="D76" s="441">
        <v>517</v>
      </c>
      <c r="E76" s="440">
        <v>4</v>
      </c>
      <c r="F76" s="442">
        <v>48</v>
      </c>
      <c r="G76" s="443">
        <v>522</v>
      </c>
      <c r="H76" s="444">
        <f>G76*(1+$H$33)</f>
        <v>558.54000000000008</v>
      </c>
      <c r="I76" s="444">
        <f t="shared" si="64"/>
        <v>284.85540000000003</v>
      </c>
      <c r="J76" s="445">
        <f>G76-G76*$J$35</f>
        <v>266.22000000000003</v>
      </c>
      <c r="K76" s="340">
        <v>617</v>
      </c>
      <c r="L76" s="446">
        <v>592</v>
      </c>
      <c r="M76" s="447">
        <f>L76/D76*100%</f>
        <v>1.1450676982591876</v>
      </c>
      <c r="N76" s="362">
        <f>K76-(K76*$N$33)</f>
        <v>339.34999999999997</v>
      </c>
      <c r="O76" s="448">
        <f>((N76/J76)-1)*100%</f>
        <v>0.27469761851100571</v>
      </c>
      <c r="P76" s="449">
        <f>((N76/I76)-1)*100%</f>
        <v>0.19130618552430434</v>
      </c>
      <c r="Q76" s="389">
        <v>6.1498862559241712</v>
      </c>
      <c r="R76" s="430">
        <f>Q72*$R$33</f>
        <v>226.981258</v>
      </c>
      <c r="S76" s="391">
        <f>((J76-R76)/J76)*100%</f>
        <v>0.14739216437532879</v>
      </c>
      <c r="T76" s="260">
        <f>((I76-R76)/I76)*100%</f>
        <v>0.20317024707974651</v>
      </c>
      <c r="U76" s="261">
        <v>4.7779999999999996</v>
      </c>
      <c r="V76" s="239">
        <f t="shared" si="65"/>
        <v>5.7335999999999991</v>
      </c>
      <c r="W76" s="262">
        <f t="shared" si="66"/>
        <v>269.66840879999995</v>
      </c>
      <c r="X76" s="263">
        <f>(ROUND(W76/(1-$AA$72),0))</f>
        <v>306</v>
      </c>
      <c r="Y76" s="239">
        <f t="shared" si="67"/>
        <v>294.27</v>
      </c>
      <c r="Z76" s="263">
        <f t="shared" si="68"/>
        <v>577</v>
      </c>
      <c r="AA76" s="264">
        <f t="shared" si="69"/>
        <v>0.11873069019607858</v>
      </c>
      <c r="AB76" s="241">
        <f t="shared" si="70"/>
        <v>8.3602104190029669E-2</v>
      </c>
      <c r="AC76" s="242">
        <f>((N76/Y76)-1)*100%</f>
        <v>0.15319264620926365</v>
      </c>
      <c r="AD76" s="266">
        <f>((N76*0.96-W76)/(N76*0.96))*100%</f>
        <v>0.1722275158391042</v>
      </c>
      <c r="AE76" s="261">
        <f>N76/$R$33</f>
        <v>7.2151468118129811</v>
      </c>
      <c r="AF76" s="262">
        <f>(V76/(1-$AA$72))</f>
        <v>6.5154545454545447</v>
      </c>
      <c r="AG76" s="1869">
        <v>13.25</v>
      </c>
      <c r="AH76" s="267">
        <f t="shared" si="71"/>
        <v>0.12000000000000004</v>
      </c>
      <c r="AI76" s="77">
        <f>AJ76/$AJ$80</f>
        <v>0.11064884636053184</v>
      </c>
      <c r="AJ76" s="333">
        <f>VLOOKUP($B76,[1]Статистика!$B:$D,3,FALSE)</f>
        <v>6383</v>
      </c>
      <c r="AK76" s="270">
        <f>AJ76*Q76*S76</f>
        <v>5785.8387281249188</v>
      </c>
      <c r="AL76" s="77">
        <f>AK76/$AK$80</f>
        <v>0.35874801640350767</v>
      </c>
      <c r="AM76" s="77">
        <f>AJ76/$AJ$111</f>
        <v>2.1637801574952625E-2</v>
      </c>
      <c r="AN76" s="77">
        <f>AK76/$AK$111</f>
        <v>-0.60280094314398347</v>
      </c>
      <c r="AO76" s="77">
        <f>AJ76/$AJ$23</f>
        <v>2.999497655805412E-3</v>
      </c>
      <c r="AP76" s="77">
        <f>AK76/$AK$23</f>
        <v>-4.9908637243158339E-2</v>
      </c>
    </row>
    <row r="77" spans="1:42" ht="16.5" thickBot="1">
      <c r="A77" s="187"/>
      <c r="B77" s="450" t="s">
        <v>855</v>
      </c>
      <c r="C77" s="451" t="s">
        <v>209</v>
      </c>
      <c r="D77" s="452">
        <v>825</v>
      </c>
      <c r="E77" s="450">
        <v>4</v>
      </c>
      <c r="F77" s="251">
        <v>40</v>
      </c>
      <c r="G77" s="106"/>
      <c r="H77" s="453">
        <v>888</v>
      </c>
      <c r="I77" s="453">
        <f t="shared" si="64"/>
        <v>452.88</v>
      </c>
      <c r="J77" s="445"/>
      <c r="K77" s="454">
        <v>911</v>
      </c>
      <c r="L77" s="455">
        <v>846</v>
      </c>
      <c r="M77" s="447">
        <f>L77/D77*100%</f>
        <v>1.0254545454545454</v>
      </c>
      <c r="N77" s="362">
        <f>K77-(K77*$N$33)</f>
        <v>501.05</v>
      </c>
      <c r="O77" s="448"/>
      <c r="P77" s="449">
        <f>((N77/I77)-1)*100%</f>
        <v>0.1063637166578344</v>
      </c>
      <c r="Q77" s="456"/>
      <c r="R77" s="457"/>
      <c r="S77" s="458"/>
      <c r="T77" s="260"/>
      <c r="U77" s="261">
        <v>7.9619999999999997</v>
      </c>
      <c r="V77" s="239">
        <f t="shared" si="65"/>
        <v>9.5543999999999993</v>
      </c>
      <c r="W77" s="262">
        <f t="shared" si="66"/>
        <v>449.37209519999999</v>
      </c>
      <c r="X77" s="263">
        <f>(ROUND(W77/(1-$AA$72),0))</f>
        <v>511</v>
      </c>
      <c r="Y77" s="239">
        <f t="shared" si="67"/>
        <v>491.64</v>
      </c>
      <c r="Z77" s="263">
        <f t="shared" si="68"/>
        <v>964</v>
      </c>
      <c r="AA77" s="264">
        <f t="shared" si="69"/>
        <v>0.12060255342465756</v>
      </c>
      <c r="AB77" s="241">
        <f t="shared" si="70"/>
        <v>8.5973282889919456E-2</v>
      </c>
      <c r="AC77" s="265">
        <f>((N77/Y77)-1)*100%</f>
        <v>1.9140021153689846E-2</v>
      </c>
      <c r="AD77" s="266">
        <f>((N77*0.96-W77)/(N77*0.96))*100%</f>
        <v>6.5770017962279201E-2</v>
      </c>
      <c r="AE77" s="261">
        <f>N77/$R$33</f>
        <v>10.653158420683351</v>
      </c>
      <c r="AF77" s="262">
        <f>(V77/(1-$AA$72))</f>
        <v>10.857272727272726</v>
      </c>
      <c r="AG77" s="1869">
        <v>20.3</v>
      </c>
      <c r="AH77" s="267">
        <f t="shared" si="71"/>
        <v>0.11999999999999993</v>
      </c>
      <c r="AI77" s="459"/>
      <c r="AJ77" s="460"/>
      <c r="AK77" s="461"/>
      <c r="AL77" s="459"/>
      <c r="AM77" s="459"/>
      <c r="AN77" s="459"/>
      <c r="AO77" s="459"/>
      <c r="AP77" s="459"/>
    </row>
    <row r="78" spans="1:42" ht="16.5" thickBot="1">
      <c r="A78" s="187"/>
      <c r="B78" s="450" t="s">
        <v>856</v>
      </c>
      <c r="C78" s="451" t="s">
        <v>303</v>
      </c>
      <c r="D78" s="452">
        <v>1380</v>
      </c>
      <c r="E78" s="450">
        <v>2</v>
      </c>
      <c r="F78" s="251">
        <v>32</v>
      </c>
      <c r="G78" s="106"/>
      <c r="H78" s="453">
        <v>1517</v>
      </c>
      <c r="I78" s="453">
        <f t="shared" si="64"/>
        <v>773.67</v>
      </c>
      <c r="J78" s="445"/>
      <c r="K78" s="454"/>
      <c r="L78" s="455"/>
      <c r="M78" s="462"/>
      <c r="N78" s="463"/>
      <c r="O78" s="458"/>
      <c r="P78" s="464"/>
      <c r="Q78" s="456"/>
      <c r="R78" s="457"/>
      <c r="S78" s="458"/>
      <c r="T78" s="465"/>
      <c r="U78" s="466">
        <v>12.362</v>
      </c>
      <c r="V78" s="466">
        <f t="shared" si="65"/>
        <v>14.834399999999999</v>
      </c>
      <c r="W78" s="466">
        <f t="shared" si="66"/>
        <v>697.70633520000001</v>
      </c>
      <c r="X78" s="466">
        <f>(ROUND(W78/(1-$AB$72),0))</f>
        <v>930</v>
      </c>
      <c r="Y78" s="466">
        <f t="shared" si="67"/>
        <v>895.05000000000007</v>
      </c>
      <c r="Z78" s="466">
        <f t="shared" si="68"/>
        <v>1755</v>
      </c>
      <c r="AA78" s="467">
        <f t="shared" si="69"/>
        <v>0.24977813419354838</v>
      </c>
      <c r="AB78" s="467">
        <f t="shared" si="70"/>
        <v>0.22048339735210329</v>
      </c>
      <c r="AC78" s="467"/>
      <c r="AD78" s="467"/>
      <c r="AE78" s="466"/>
      <c r="AF78" s="466">
        <f>(V78/(1-$AB$72))</f>
        <v>19.779199999999999</v>
      </c>
      <c r="AG78" s="1873">
        <v>37.32</v>
      </c>
      <c r="AH78" s="467">
        <f t="shared" si="71"/>
        <v>0.25000000000000006</v>
      </c>
      <c r="AI78" s="459"/>
      <c r="AJ78" s="460"/>
      <c r="AK78" s="461"/>
      <c r="AL78" s="459"/>
      <c r="AM78" s="459"/>
      <c r="AN78" s="459"/>
      <c r="AO78" s="459"/>
      <c r="AP78" s="459"/>
    </row>
    <row r="79" spans="1:42" ht="16.5" thickBot="1">
      <c r="A79" s="187"/>
      <c r="B79" s="450" t="s">
        <v>857</v>
      </c>
      <c r="C79" s="451" t="s">
        <v>305</v>
      </c>
      <c r="D79" s="452">
        <v>2195</v>
      </c>
      <c r="E79" s="450">
        <v>2</v>
      </c>
      <c r="F79" s="251">
        <v>16</v>
      </c>
      <c r="G79" s="106"/>
      <c r="H79" s="453">
        <v>2474</v>
      </c>
      <c r="I79" s="453">
        <f t="shared" si="64"/>
        <v>1261.74</v>
      </c>
      <c r="J79" s="445"/>
      <c r="K79" s="454"/>
      <c r="L79" s="455"/>
      <c r="M79" s="462"/>
      <c r="N79" s="463"/>
      <c r="O79" s="458"/>
      <c r="P79" s="464"/>
      <c r="Q79" s="456"/>
      <c r="R79" s="457"/>
      <c r="S79" s="458"/>
      <c r="T79" s="465"/>
      <c r="U79" s="466">
        <v>20.149000000000001</v>
      </c>
      <c r="V79" s="466">
        <f t="shared" si="65"/>
        <v>24.178799999999999</v>
      </c>
      <c r="W79" s="466">
        <f t="shared" si="66"/>
        <v>1137.2015004</v>
      </c>
      <c r="X79" s="466">
        <f>(ROUND(W79/(1-$AB$72),0))</f>
        <v>1516</v>
      </c>
      <c r="Y79" s="466">
        <f t="shared" si="67"/>
        <v>1458.6000000000001</v>
      </c>
      <c r="Z79" s="466">
        <f t="shared" si="68"/>
        <v>2860</v>
      </c>
      <c r="AA79" s="467">
        <f t="shared" si="69"/>
        <v>0.24986708416886544</v>
      </c>
      <c r="AB79" s="467">
        <f t="shared" si="70"/>
        <v>0.22034725051419177</v>
      </c>
      <c r="AC79" s="467"/>
      <c r="AD79" s="467"/>
      <c r="AE79" s="466"/>
      <c r="AF79" s="466">
        <f>(V79/(1-$AB$72))</f>
        <v>32.238399999999999</v>
      </c>
      <c r="AG79" s="1873">
        <v>60.83</v>
      </c>
      <c r="AH79" s="467">
        <f t="shared" si="71"/>
        <v>0.25</v>
      </c>
      <c r="AI79" s="459"/>
      <c r="AJ79" s="460"/>
      <c r="AK79" s="461"/>
      <c r="AL79" s="459"/>
      <c r="AM79" s="459"/>
      <c r="AN79" s="459"/>
      <c r="AO79" s="459"/>
      <c r="AP79" s="459"/>
    </row>
    <row r="80" spans="1:42" ht="15.75" thickBot="1">
      <c r="A80" s="149" t="s">
        <v>60</v>
      </c>
      <c r="B80" s="157"/>
      <c r="C80" s="157" t="s">
        <v>1123</v>
      </c>
      <c r="O80" s="298">
        <f>AVERAGE(O71:O76)</f>
        <v>0.23582178032820345</v>
      </c>
      <c r="P80" s="298">
        <f>AVERAGE(P74:P76)</f>
        <v>0.15497362647495647</v>
      </c>
      <c r="S80" s="299" t="s">
        <v>973</v>
      </c>
      <c r="T80" s="418" t="s">
        <v>973</v>
      </c>
      <c r="U80" s="301"/>
      <c r="V80" s="301"/>
      <c r="W80" s="301"/>
      <c r="X80" s="301"/>
      <c r="Y80" s="301"/>
      <c r="Z80" s="301"/>
      <c r="AA80" s="302"/>
      <c r="AB80" s="302"/>
      <c r="AC80" s="302"/>
      <c r="AD80" s="302">
        <f>AVERAGE(AD74:AD77)</f>
        <v>8.5568493999016254E-2</v>
      </c>
      <c r="AE80" s="301"/>
      <c r="AF80" s="301"/>
      <c r="AG80" s="1871"/>
      <c r="AH80" s="302"/>
      <c r="AI80" s="303">
        <f>S74*AI74+S75*AI75+S76*AI76</f>
        <v>7.4300369771389013E-2</v>
      </c>
      <c r="AJ80" s="304">
        <f>SUM(AJ74:AJ76)</f>
        <v>57687</v>
      </c>
      <c r="AK80" s="305">
        <f>SUM(AK74:AK76)</f>
        <v>16127.862632185825</v>
      </c>
      <c r="AL80" s="16"/>
      <c r="AM80" s="307">
        <f>SUM(AM74:AM76)</f>
        <v>0.19555379280186311</v>
      </c>
      <c r="AN80" s="307">
        <f>SUM(AN74:AN76)</f>
        <v>-1.6802906652617509</v>
      </c>
      <c r="AO80" s="308">
        <f>SUM(AO74:AO76)</f>
        <v>2.7108259638171206E-2</v>
      </c>
      <c r="AP80" s="308">
        <f>SUM(AP74:AP76)</f>
        <v>-0.13911892180895791</v>
      </c>
    </row>
    <row r="81" spans="1:42" ht="15.75" thickBot="1">
      <c r="A81" s="187"/>
      <c r="C81" s="148" t="s">
        <v>25</v>
      </c>
      <c r="K81" s="2309" t="s">
        <v>1124</v>
      </c>
      <c r="L81" s="2309"/>
      <c r="M81" s="2309"/>
      <c r="N81" s="2309"/>
      <c r="O81" s="2309"/>
      <c r="P81" s="1852"/>
      <c r="T81" s="2310"/>
      <c r="U81" s="2310" t="s">
        <v>1089</v>
      </c>
      <c r="V81" s="2310"/>
      <c r="W81" s="309"/>
      <c r="X81" s="309"/>
      <c r="Y81" s="309"/>
      <c r="Z81" s="309"/>
      <c r="AA81" s="346">
        <v>0.24</v>
      </c>
      <c r="AB81" s="421">
        <v>0.16</v>
      </c>
      <c r="AC81" s="1851"/>
      <c r="AD81" s="1851"/>
      <c r="AE81" s="188"/>
      <c r="AF81" s="188"/>
      <c r="AG81" s="1866"/>
      <c r="AH81" s="1851"/>
      <c r="AI81" s="16"/>
      <c r="AJ81" s="311"/>
      <c r="AK81" s="312"/>
      <c r="AL81" s="16"/>
      <c r="AO81" s="13"/>
      <c r="AP81" s="13"/>
    </row>
    <row r="82" spans="1:42" ht="108.75" thickBot="1">
      <c r="A82" s="187"/>
      <c r="B82" s="369" t="s">
        <v>10</v>
      </c>
      <c r="C82" s="370" t="s">
        <v>11</v>
      </c>
      <c r="D82" s="370" t="s">
        <v>12</v>
      </c>
      <c r="E82" s="370" t="s">
        <v>13</v>
      </c>
      <c r="F82" s="370" t="s">
        <v>14</v>
      </c>
      <c r="G82" s="371" t="s">
        <v>15</v>
      </c>
      <c r="H82" s="372" t="s">
        <v>1090</v>
      </c>
      <c r="I82" s="372">
        <f>$C$4</f>
        <v>0.49</v>
      </c>
      <c r="J82" s="394">
        <f>$C$4</f>
        <v>0.49</v>
      </c>
      <c r="K82" s="314" t="s">
        <v>15</v>
      </c>
      <c r="L82" s="315" t="s">
        <v>12</v>
      </c>
      <c r="M82" s="316" t="s">
        <v>1091</v>
      </c>
      <c r="N82" s="349" t="s">
        <v>993</v>
      </c>
      <c r="O82" s="317" t="s">
        <v>1092</v>
      </c>
      <c r="P82" s="199" t="s">
        <v>1092</v>
      </c>
      <c r="Q82" s="200" t="s">
        <v>1093</v>
      </c>
      <c r="R82" s="201" t="s">
        <v>1094</v>
      </c>
      <c r="S82" s="350" t="s">
        <v>1095</v>
      </c>
      <c r="T82" s="203" t="s">
        <v>1095</v>
      </c>
      <c r="U82" s="204" t="s">
        <v>1096</v>
      </c>
      <c r="V82" s="205" t="s">
        <v>1093</v>
      </c>
      <c r="W82" s="206" t="s">
        <v>1094</v>
      </c>
      <c r="X82" s="207" t="s">
        <v>1097</v>
      </c>
      <c r="Y82" s="208">
        <f>$X$33</f>
        <v>0.49</v>
      </c>
      <c r="Z82" s="207" t="s">
        <v>1098</v>
      </c>
      <c r="AA82" s="209" t="s">
        <v>1099</v>
      </c>
      <c r="AB82" s="209" t="s">
        <v>1100</v>
      </c>
      <c r="AC82" s="210" t="s">
        <v>1092</v>
      </c>
      <c r="AD82" s="211" t="s">
        <v>1101</v>
      </c>
      <c r="AE82" s="212" t="s">
        <v>1102</v>
      </c>
      <c r="AF82" s="208" t="s">
        <v>1103</v>
      </c>
      <c r="AG82" s="1867" t="s">
        <v>1104</v>
      </c>
      <c r="AH82" s="213" t="s">
        <v>1116</v>
      </c>
      <c r="AI82" s="218" t="s">
        <v>1106</v>
      </c>
      <c r="AJ82" s="319" t="s">
        <v>1107</v>
      </c>
      <c r="AK82" s="320" t="s">
        <v>1108</v>
      </c>
      <c r="AL82" s="219" t="s">
        <v>1109</v>
      </c>
      <c r="AM82" s="221" t="s">
        <v>1110</v>
      </c>
      <c r="AN82" s="221" t="s">
        <v>1111</v>
      </c>
      <c r="AO82" s="220" t="s">
        <v>1112</v>
      </c>
      <c r="AP82" s="221" t="s">
        <v>1113</v>
      </c>
    </row>
    <row r="83" spans="1:42" ht="15.75">
      <c r="A83" s="271"/>
      <c r="B83" s="395" t="s">
        <v>324</v>
      </c>
      <c r="C83" s="223" t="s">
        <v>190</v>
      </c>
      <c r="D83" s="468">
        <v>250</v>
      </c>
      <c r="E83" s="223">
        <v>10</v>
      </c>
      <c r="F83" s="224">
        <v>90</v>
      </c>
      <c r="G83" s="396">
        <v>258</v>
      </c>
      <c r="H83" s="397">
        <f>G83*(1+$H$33)</f>
        <v>276.06</v>
      </c>
      <c r="I83" s="397">
        <f>H83-H83*$J$35</f>
        <v>140.79060000000001</v>
      </c>
      <c r="J83" s="227">
        <f>G83-G83*$J$35</f>
        <v>131.57999999999998</v>
      </c>
      <c r="K83" s="398">
        <v>298</v>
      </c>
      <c r="L83" s="322">
        <v>211</v>
      </c>
      <c r="M83" s="323">
        <f>L83/D83*100%</f>
        <v>0.84399999999999997</v>
      </c>
      <c r="N83" s="353">
        <f>K83-(K83*$N$33)</f>
        <v>163.9</v>
      </c>
      <c r="O83" s="469">
        <f>((N83/J83)-1)*100%</f>
        <v>0.24563003495972047</v>
      </c>
      <c r="P83" s="470">
        <f>((N83/I83)-1)*100%</f>
        <v>0.16414021958852354</v>
      </c>
      <c r="Q83" s="385">
        <v>2.77</v>
      </c>
      <c r="R83" s="382">
        <f>Q83*$R$33</f>
        <v>130.28140999999999</v>
      </c>
      <c r="S83" s="324">
        <f>((J83-R83)/J83)*100%</f>
        <v>9.8692050463595558E-3</v>
      </c>
      <c r="T83" s="237">
        <f>((I83-R83)/I83)*100%</f>
        <v>7.4644116865756782E-2</v>
      </c>
      <c r="U83" s="238">
        <v>2.2650000000000001</v>
      </c>
      <c r="V83" s="239">
        <f>U83*$X$31</f>
        <v>2.718</v>
      </c>
      <c r="W83" s="239">
        <f>V83*$R$33</f>
        <v>127.835694</v>
      </c>
      <c r="X83" s="240">
        <f>(ROUND(W83/(1-$AB$81),0))</f>
        <v>152</v>
      </c>
      <c r="Y83" s="239">
        <f>Z83*(1-$X$33)</f>
        <v>146.37</v>
      </c>
      <c r="Z83" s="240">
        <f>ROUND(X83/(1-$X$32),0)</f>
        <v>287</v>
      </c>
      <c r="AA83" s="241">
        <f>((X83-W83)/X83)*100%</f>
        <v>0.15897569736842102</v>
      </c>
      <c r="AB83" s="241">
        <f>((Y83-W83)/Y83)*100%</f>
        <v>0.12662639885222382</v>
      </c>
      <c r="AC83" s="242">
        <f>((N83/Y83)-1)*100%</f>
        <v>0.1197649791623967</v>
      </c>
      <c r="AD83" s="243">
        <f>((N83*0.96-W83)/(N83*0.96))*100%</f>
        <v>0.18754007779133613</v>
      </c>
      <c r="AE83" s="238">
        <f>N83/$R$33</f>
        <v>3.4847872770182637</v>
      </c>
      <c r="AF83" s="239">
        <f>(V83/(1-$AB$81))</f>
        <v>3.2357142857142858</v>
      </c>
      <c r="AG83" s="1868">
        <v>6.3</v>
      </c>
      <c r="AH83" s="244">
        <f>((AF83-V83)/AF83)*100%</f>
        <v>0.16000000000000003</v>
      </c>
      <c r="AI83" s="50">
        <f>AJ83/$AJ$86</f>
        <v>0.73388636029951548</v>
      </c>
      <c r="AJ83" s="354">
        <f>VLOOKUP($B83,[1]Статистика!$B:$D,3,FALSE)</f>
        <v>9997</v>
      </c>
      <c r="AK83" s="355">
        <f>AJ83*Q83*S83</f>
        <v>273.29496669022444</v>
      </c>
      <c r="AL83" s="50">
        <f>AK83/$AK$86</f>
        <v>0.10363355840703431</v>
      </c>
      <c r="AM83" s="92">
        <f>AJ83/$AJ$111</f>
        <v>3.3888939737553095E-2</v>
      </c>
      <c r="AN83" s="92">
        <f>AK83/$AK$111</f>
        <v>-2.8473393645861395E-2</v>
      </c>
      <c r="AO83" s="77">
        <f>AJ83/$AJ$23</f>
        <v>4.6977875709050135E-3</v>
      </c>
      <c r="AP83" s="77">
        <f>AK83/$AK$23</f>
        <v>-2.3574420224712774E-3</v>
      </c>
    </row>
    <row r="84" spans="1:42" ht="15.75">
      <c r="A84" s="187"/>
      <c r="B84" s="356" t="s">
        <v>325</v>
      </c>
      <c r="C84" s="250" t="s">
        <v>192</v>
      </c>
      <c r="D84" s="471">
        <v>395</v>
      </c>
      <c r="E84" s="250">
        <v>6</v>
      </c>
      <c r="F84" s="251">
        <v>64</v>
      </c>
      <c r="G84" s="328">
        <v>444</v>
      </c>
      <c r="H84" s="357">
        <f>G84*(1+$H$33)</f>
        <v>475.08000000000004</v>
      </c>
      <c r="I84" s="357">
        <f>H84-H84*$J$35</f>
        <v>242.29080000000002</v>
      </c>
      <c r="J84" s="253">
        <f>G84-G84*$J$35</f>
        <v>226.44</v>
      </c>
      <c r="K84" s="398">
        <v>505</v>
      </c>
      <c r="L84" s="322">
        <v>329</v>
      </c>
      <c r="M84" s="323">
        <f>L84/D84*100%</f>
        <v>0.83291139240506329</v>
      </c>
      <c r="N84" s="353">
        <f>K84-(K84*$N$33)</f>
        <v>277.75</v>
      </c>
      <c r="O84" s="469">
        <f>((N84/J84)-1)*100%</f>
        <v>0.22659424130012362</v>
      </c>
      <c r="P84" s="472">
        <f>((N84/I84)-1)*100%</f>
        <v>0.14634975822441465</v>
      </c>
      <c r="Q84" s="381">
        <v>4.1947518998658921</v>
      </c>
      <c r="R84" s="382">
        <f>Q84*$R$33</f>
        <v>197.29176610639252</v>
      </c>
      <c r="S84" s="329">
        <f>((J84-R84)/J84)*100%</f>
        <v>0.12872387340402527</v>
      </c>
      <c r="T84" s="260">
        <f>((I84-R84)/I84)*100%</f>
        <v>0.18572324617198629</v>
      </c>
      <c r="U84" s="261">
        <v>3.452</v>
      </c>
      <c r="V84" s="239">
        <f>U84*$X$31</f>
        <v>4.1423999999999994</v>
      </c>
      <c r="W84" s="262">
        <f>V84*$R$33</f>
        <v>194.82949919999999</v>
      </c>
      <c r="X84" s="240">
        <f>(ROUND(W84/(1-$AA$81),0))</f>
        <v>256</v>
      </c>
      <c r="Y84" s="239">
        <f>Z84*(1-$X$33)</f>
        <v>246.33</v>
      </c>
      <c r="Z84" s="263">
        <f>ROUND(X84/(1-$X$32),0)</f>
        <v>483</v>
      </c>
      <c r="AA84" s="264">
        <f>((X84-W84)/X84)*100%</f>
        <v>0.23894726875000005</v>
      </c>
      <c r="AB84" s="241">
        <f>((Y84-W84)/Y84)*100%</f>
        <v>0.20907116794543915</v>
      </c>
      <c r="AC84" s="242">
        <f>((N84/Y84)-1)*100%</f>
        <v>0.12755247026346761</v>
      </c>
      <c r="AD84" s="266">
        <f>((N84*0.96-W84)/(N84*0.96))*100%</f>
        <v>0.26931630963096309</v>
      </c>
      <c r="AE84" s="261">
        <f>N84/$R$33</f>
        <v>5.9054281036718894</v>
      </c>
      <c r="AF84" s="239">
        <f>(V84/(1-$AA$81))</f>
        <v>5.4505263157894728</v>
      </c>
      <c r="AG84" s="1869">
        <v>10.35</v>
      </c>
      <c r="AH84" s="267">
        <f>((AF84-V84)/AF84)*100%</f>
        <v>0.24</v>
      </c>
      <c r="AI84" s="334">
        <f>AJ84/$AJ$86</f>
        <v>0.17640581412421083</v>
      </c>
      <c r="AJ84" s="431">
        <f>VLOOKUP($B84,[1]Статистика!$B:$D,3,FALSE)</f>
        <v>2403</v>
      </c>
      <c r="AK84" s="400">
        <f>AJ84*Q84*S84</f>
        <v>1297.5352041846747</v>
      </c>
      <c r="AL84" s="334">
        <f>AK84/$AK$86</f>
        <v>0.49202585761659223</v>
      </c>
      <c r="AM84" s="77">
        <f>AJ84/$AJ$111</f>
        <v>8.1459560057357289E-3</v>
      </c>
      <c r="AN84" s="77">
        <f>AK84/$AK$111</f>
        <v>-0.13518445321384287</v>
      </c>
      <c r="AO84" s="77">
        <f>AJ84/$AJ$23</f>
        <v>1.129217118424002E-3</v>
      </c>
      <c r="AP84" s="77">
        <f>AK84/$AK$23</f>
        <v>-1.1192536961165392E-2</v>
      </c>
    </row>
    <row r="85" spans="1:42" ht="16.5" thickBot="1">
      <c r="A85" s="187"/>
      <c r="B85" s="473" t="s">
        <v>326</v>
      </c>
      <c r="C85" s="275" t="s">
        <v>194</v>
      </c>
      <c r="D85" s="474">
        <v>655</v>
      </c>
      <c r="E85" s="275">
        <v>5</v>
      </c>
      <c r="F85" s="276">
        <v>20</v>
      </c>
      <c r="G85" s="339">
        <v>742</v>
      </c>
      <c r="H85" s="360">
        <f>G85*(1+$H$33)</f>
        <v>793.94</v>
      </c>
      <c r="I85" s="360">
        <f>H85-H85*$J$35</f>
        <v>404.90940000000006</v>
      </c>
      <c r="J85" s="361">
        <f>G85-G85*$J$35</f>
        <v>378.42</v>
      </c>
      <c r="K85" s="398">
        <v>914</v>
      </c>
      <c r="L85" s="322">
        <v>592</v>
      </c>
      <c r="M85" s="323">
        <f>L85/D85*100%</f>
        <v>0.90381679389312974</v>
      </c>
      <c r="N85" s="353">
        <f>K85-(K85*$N$33)</f>
        <v>502.7</v>
      </c>
      <c r="O85" s="469">
        <f>((N85/J85)-1)*100%</f>
        <v>0.32841815971671684</v>
      </c>
      <c r="P85" s="475">
        <f>((N85/I85)-1)*100%</f>
        <v>0.24151229880066971</v>
      </c>
      <c r="Q85" s="389">
        <v>7.05</v>
      </c>
      <c r="R85" s="390">
        <f>Q85*$R$33</f>
        <v>331.58265</v>
      </c>
      <c r="S85" s="363">
        <f>((J85-R85)/J85)*100%</f>
        <v>0.12377081021087684</v>
      </c>
      <c r="T85" s="260">
        <f>((I85-R85)/I85)*100%</f>
        <v>0.18109421515035229</v>
      </c>
      <c r="U85" s="261">
        <v>5.6280000000000001</v>
      </c>
      <c r="V85" s="239">
        <f>U85*$X$31</f>
        <v>6.7535999999999996</v>
      </c>
      <c r="W85" s="262">
        <f>V85*$R$33</f>
        <v>317.6420688</v>
      </c>
      <c r="X85" s="240">
        <f>(ROUND(W85/(1-$AA$81),0))</f>
        <v>418</v>
      </c>
      <c r="Y85" s="239">
        <f>Z85*(1-$X$33)</f>
        <v>402.39</v>
      </c>
      <c r="Z85" s="263">
        <f>ROUND(X85/(1-$X$32),0)</f>
        <v>789</v>
      </c>
      <c r="AA85" s="264">
        <f>((X85-W85)/X85)*100%</f>
        <v>0.24009074449760764</v>
      </c>
      <c r="AB85" s="241">
        <f>((Y85-W85)/Y85)*100%</f>
        <v>0.21061142473719521</v>
      </c>
      <c r="AC85" s="242">
        <f>((N85/Y85)-1)*100%</f>
        <v>0.24928551902383256</v>
      </c>
      <c r="AD85" s="266">
        <f>((N85*0.96-W85)/(N85*0.96))*100%</f>
        <v>0.3417999701611299</v>
      </c>
      <c r="AE85" s="261">
        <f>N85/$R$33</f>
        <v>10.688240171794272</v>
      </c>
      <c r="AF85" s="239">
        <f>(V85/(1-$AA$81))</f>
        <v>8.8863157894736844</v>
      </c>
      <c r="AG85" s="1869">
        <v>16.850000000000001</v>
      </c>
      <c r="AH85" s="267">
        <f>((AF85-V85)/AF85)*100%</f>
        <v>0.24000000000000005</v>
      </c>
      <c r="AI85" s="334">
        <f>AJ85/$AJ$86</f>
        <v>8.9707825576273673E-2</v>
      </c>
      <c r="AJ85" s="431">
        <f>VLOOKUP($B85,[1]Статистика!$B:$D,3,FALSE)</f>
        <v>1222</v>
      </c>
      <c r="AK85" s="270">
        <f>AJ85*Q85*S85</f>
        <v>1066.2979070477252</v>
      </c>
      <c r="AL85" s="334">
        <f>AK85/$AK$86</f>
        <v>0.4043405839763734</v>
      </c>
      <c r="AM85" s="77">
        <f>AJ85/$AJ$111</f>
        <v>4.1424711772821724E-3</v>
      </c>
      <c r="AN85" s="77">
        <f>AK85/$AK$111</f>
        <v>-0.11109286211458792</v>
      </c>
      <c r="AO85" s="77">
        <f>AJ85/$AJ$23</f>
        <v>5.7424191373871432E-4</v>
      </c>
      <c r="AP85" s="77">
        <f>AK85/$AK$23</f>
        <v>-9.197884340829297E-3</v>
      </c>
    </row>
    <row r="86" spans="1:42" ht="15.75" thickBot="1">
      <c r="A86" s="149" t="s">
        <v>61</v>
      </c>
      <c r="B86" s="157"/>
      <c r="C86" s="157" t="s">
        <v>1125</v>
      </c>
      <c r="O86" s="298">
        <f>AVERAGE(O80:O85)</f>
        <v>0.25911605407619109</v>
      </c>
      <c r="P86" s="298">
        <f>AVERAGE(P83:P85)</f>
        <v>0.18400075887120262</v>
      </c>
      <c r="S86" s="299" t="s">
        <v>973</v>
      </c>
      <c r="T86" s="418" t="s">
        <v>973</v>
      </c>
      <c r="U86" s="301"/>
      <c r="V86" s="301"/>
      <c r="W86" s="301"/>
      <c r="X86" s="301"/>
      <c r="Y86" s="301"/>
      <c r="Z86" s="301"/>
      <c r="AA86" s="302"/>
      <c r="AB86" s="302"/>
      <c r="AC86" s="302"/>
      <c r="AD86" s="302">
        <f>AVERAGE(AD83:AD85)</f>
        <v>0.26621878586114306</v>
      </c>
      <c r="AE86" s="301"/>
      <c r="AF86" s="301"/>
      <c r="AG86" s="1871"/>
      <c r="AH86" s="302"/>
      <c r="AI86" s="303">
        <f>S83*AI83+S84*AI84+S85*AI85</f>
        <v>4.1053724909412767E-2</v>
      </c>
      <c r="AJ86" s="304">
        <f>SUM(AJ83:AJ85)</f>
        <v>13622</v>
      </c>
      <c r="AK86" s="305">
        <f>SUM(AK83:AK85)</f>
        <v>2637.1280779226245</v>
      </c>
      <c r="AL86" s="16"/>
      <c r="AM86" s="307">
        <f>SUM(AM83:AM85)</f>
        <v>4.6177366920570992E-2</v>
      </c>
      <c r="AN86" s="307">
        <f>SUM(AN83:AN85)</f>
        <v>-0.27475070897429221</v>
      </c>
      <c r="AO86" s="308">
        <f>SUM(AO83:AO85)</f>
        <v>6.4012466030677305E-3</v>
      </c>
      <c r="AP86" s="308">
        <f>SUM(AP83:AP85)</f>
        <v>-2.2747863324465968E-2</v>
      </c>
    </row>
    <row r="87" spans="1:42" ht="15.75" thickBot="1">
      <c r="A87" s="187"/>
      <c r="C87" s="148" t="s">
        <v>31</v>
      </c>
      <c r="K87" s="2316" t="s">
        <v>1126</v>
      </c>
      <c r="L87" s="2316"/>
      <c r="M87" s="2316"/>
      <c r="N87" s="2316"/>
      <c r="O87" s="2316"/>
      <c r="P87" s="1852"/>
      <c r="T87" s="2310"/>
      <c r="U87" s="2310" t="s">
        <v>1089</v>
      </c>
      <c r="V87" s="2310"/>
      <c r="W87" s="309"/>
      <c r="X87" s="309"/>
      <c r="Y87" s="309"/>
      <c r="Z87" s="309"/>
      <c r="AA87" s="346">
        <v>0.24</v>
      </c>
      <c r="AB87" s="421">
        <v>0.14000000000000001</v>
      </c>
      <c r="AC87" s="1851"/>
      <c r="AD87" s="1851"/>
      <c r="AE87" s="188"/>
      <c r="AF87" s="188"/>
      <c r="AG87" s="1866"/>
      <c r="AH87" s="1851"/>
      <c r="AI87" s="16"/>
      <c r="AJ87" s="311"/>
      <c r="AK87" s="312"/>
      <c r="AL87" s="16"/>
      <c r="AO87" s="13"/>
      <c r="AP87" s="13"/>
    </row>
    <row r="88" spans="1:42" ht="108.75" thickBot="1">
      <c r="A88" s="187"/>
      <c r="B88" s="369" t="s">
        <v>10</v>
      </c>
      <c r="C88" s="370" t="s">
        <v>11</v>
      </c>
      <c r="D88" s="370" t="s">
        <v>12</v>
      </c>
      <c r="E88" s="370" t="s">
        <v>13</v>
      </c>
      <c r="F88" s="370" t="s">
        <v>14</v>
      </c>
      <c r="G88" s="371" t="s">
        <v>15</v>
      </c>
      <c r="H88" s="372" t="s">
        <v>1090</v>
      </c>
      <c r="I88" s="372">
        <f>$C$4</f>
        <v>0.49</v>
      </c>
      <c r="J88" s="373">
        <f>$C$4</f>
        <v>0.49</v>
      </c>
      <c r="K88" s="422" t="s">
        <v>15</v>
      </c>
      <c r="L88" s="423" t="s">
        <v>12</v>
      </c>
      <c r="M88" s="476" t="s">
        <v>1091</v>
      </c>
      <c r="N88" s="477" t="s">
        <v>993</v>
      </c>
      <c r="O88" s="424" t="s">
        <v>1092</v>
      </c>
      <c r="P88" s="199" t="s">
        <v>1092</v>
      </c>
      <c r="Q88" s="200" t="s">
        <v>1093</v>
      </c>
      <c r="R88" s="201" t="s">
        <v>1094</v>
      </c>
      <c r="S88" s="350" t="s">
        <v>1095</v>
      </c>
      <c r="T88" s="203" t="s">
        <v>1095</v>
      </c>
      <c r="U88" s="204" t="s">
        <v>1096</v>
      </c>
      <c r="V88" s="205" t="s">
        <v>1093</v>
      </c>
      <c r="W88" s="206" t="s">
        <v>1094</v>
      </c>
      <c r="X88" s="207" t="s">
        <v>1097</v>
      </c>
      <c r="Y88" s="208">
        <f>$X$33</f>
        <v>0.49</v>
      </c>
      <c r="Z88" s="207" t="s">
        <v>1098</v>
      </c>
      <c r="AA88" s="209" t="s">
        <v>1099</v>
      </c>
      <c r="AB88" s="209" t="s">
        <v>1100</v>
      </c>
      <c r="AC88" s="210" t="s">
        <v>1092</v>
      </c>
      <c r="AD88" s="211" t="s">
        <v>1101</v>
      </c>
      <c r="AE88" s="212" t="s">
        <v>1102</v>
      </c>
      <c r="AF88" s="208" t="s">
        <v>1103</v>
      </c>
      <c r="AG88" s="1867" t="s">
        <v>1104</v>
      </c>
      <c r="AH88" s="213" t="s">
        <v>1116</v>
      </c>
      <c r="AI88" s="218" t="s">
        <v>1106</v>
      </c>
      <c r="AJ88" s="319" t="s">
        <v>1107</v>
      </c>
      <c r="AK88" s="320" t="s">
        <v>1108</v>
      </c>
      <c r="AL88" s="219" t="s">
        <v>1109</v>
      </c>
      <c r="AM88" s="221" t="s">
        <v>1110</v>
      </c>
      <c r="AN88" s="221" t="s">
        <v>1111</v>
      </c>
      <c r="AO88" s="220" t="s">
        <v>1112</v>
      </c>
      <c r="AP88" s="221" t="s">
        <v>1113</v>
      </c>
    </row>
    <row r="89" spans="1:42" ht="15.75">
      <c r="A89" s="271"/>
      <c r="B89" s="395" t="s">
        <v>327</v>
      </c>
      <c r="C89" s="223" t="s">
        <v>190</v>
      </c>
      <c r="D89" s="468">
        <v>292</v>
      </c>
      <c r="E89" s="223">
        <v>14</v>
      </c>
      <c r="F89" s="224">
        <v>72</v>
      </c>
      <c r="G89" s="396">
        <v>252</v>
      </c>
      <c r="H89" s="397">
        <f>G89*(1+$H$33)</f>
        <v>269.64000000000004</v>
      </c>
      <c r="I89" s="397">
        <f>H89-H89*$J$35</f>
        <v>137.51640000000003</v>
      </c>
      <c r="J89" s="227">
        <f>G89-G89*$J$35</f>
        <v>128.51999999999998</v>
      </c>
      <c r="K89" s="427">
        <v>306</v>
      </c>
      <c r="L89" s="478">
        <v>274</v>
      </c>
      <c r="M89" s="479">
        <f>L89/D89*100%</f>
        <v>0.93835616438356162</v>
      </c>
      <c r="N89" s="480">
        <f>K89-(K89*$N$33)</f>
        <v>168.29999999999998</v>
      </c>
      <c r="O89" s="437">
        <f>((N89/J89)-1)*100%</f>
        <v>0.30952380952380953</v>
      </c>
      <c r="P89" s="438">
        <f>((N89/I89)-1)*100%</f>
        <v>0.22385402759234485</v>
      </c>
      <c r="Q89" s="385">
        <v>2.93</v>
      </c>
      <c r="R89" s="382">
        <f>Q89*$R$33</f>
        <v>137.80669</v>
      </c>
      <c r="S89" s="383">
        <f>((J89-R89)/J89)*100%</f>
        <v>-7.2258714596950074E-2</v>
      </c>
      <c r="T89" s="237">
        <f>((I89-R89)/I89)*100%</f>
        <v>-2.1109482214482808E-3</v>
      </c>
      <c r="U89" s="238">
        <v>2.4329999999999998</v>
      </c>
      <c r="V89" s="239">
        <f>U89*$X$31</f>
        <v>2.9195999999999995</v>
      </c>
      <c r="W89" s="239">
        <f>V89*$R$33</f>
        <v>137.31754679999997</v>
      </c>
      <c r="X89" s="240">
        <f>(ROUND(W89/(1-$AB$87),0))</f>
        <v>160</v>
      </c>
      <c r="Y89" s="239">
        <f>Z89*(1-$X$33)</f>
        <v>154.02000000000001</v>
      </c>
      <c r="Z89" s="240">
        <f>ROUND(X89/(1-$X$32),0)</f>
        <v>302</v>
      </c>
      <c r="AA89" s="241">
        <f>((X89-W89)/X89)*100%</f>
        <v>0.14176533250000017</v>
      </c>
      <c r="AB89" s="241">
        <f>((Y89-W89)/Y89)*100%</f>
        <v>0.10844340475262976</v>
      </c>
      <c r="AC89" s="242">
        <f>((N89/Y89)-1)*100%</f>
        <v>9.2715231788079278E-2</v>
      </c>
      <c r="AD89" s="243">
        <f>((N89*0.96-W89)/(N89*0.96))*100%</f>
        <v>0.15009440730837798</v>
      </c>
      <c r="AE89" s="238">
        <f>N89/$R$33</f>
        <v>3.5783386133140556</v>
      </c>
      <c r="AF89" s="239">
        <f>(V89/(1-$AB$87))</f>
        <v>3.3948837209302321</v>
      </c>
      <c r="AG89" s="1868">
        <v>6.45</v>
      </c>
      <c r="AH89" s="244">
        <f>((AF89-V89)/AF89)*100%</f>
        <v>0.14000000000000001</v>
      </c>
      <c r="AI89" s="92">
        <f>AJ89/$AJ$91</f>
        <v>0.92319226924358544</v>
      </c>
      <c r="AJ89" s="338">
        <f>VLOOKUP($B89,[1]Статистика!$B:$D,3,FALSE)</f>
        <v>11082</v>
      </c>
      <c r="AK89" s="297">
        <f>AJ89*Q89*S89</f>
        <v>-2346.2592502287644</v>
      </c>
      <c r="AL89" s="92">
        <f>AK89/$AK$91</f>
        <v>1.2698887346366439</v>
      </c>
      <c r="AM89" s="92">
        <f>AJ89/$AJ$111</f>
        <v>3.7566993115090867E-2</v>
      </c>
      <c r="AN89" s="92">
        <f>AK89/$AK$111</f>
        <v>0.24444637248929191</v>
      </c>
      <c r="AO89" s="77">
        <f>AJ89/$AJ$23</f>
        <v>5.2076504812213027E-3</v>
      </c>
      <c r="AP89" s="77">
        <f>AK89/$AK$23</f>
        <v>2.0238829200139408E-2</v>
      </c>
    </row>
    <row r="90" spans="1:42" ht="16.5" thickBot="1">
      <c r="A90" s="187"/>
      <c r="B90" s="359" t="s">
        <v>328</v>
      </c>
      <c r="C90" s="275" t="s">
        <v>192</v>
      </c>
      <c r="D90" s="276">
        <v>374</v>
      </c>
      <c r="E90" s="275">
        <v>12</v>
      </c>
      <c r="F90" s="276">
        <v>56</v>
      </c>
      <c r="G90" s="339">
        <v>430</v>
      </c>
      <c r="H90" s="360">
        <f>G90*(1+$H$33)</f>
        <v>460.1</v>
      </c>
      <c r="I90" s="360">
        <f>H90-H90*$J$35</f>
        <v>234.65100000000001</v>
      </c>
      <c r="J90" s="361">
        <f>G90-G90*$J$35</f>
        <v>219.3</v>
      </c>
      <c r="K90" s="340">
        <v>536</v>
      </c>
      <c r="L90" s="341">
        <v>447</v>
      </c>
      <c r="M90" s="342">
        <f>L90/D90*100%</f>
        <v>1.195187165775401</v>
      </c>
      <c r="N90" s="481">
        <f>K90-(K90*$N$33)</f>
        <v>294.79999999999995</v>
      </c>
      <c r="O90" s="448">
        <f>((N90/J90)-1)*100%</f>
        <v>0.34427724578203356</v>
      </c>
      <c r="P90" s="482">
        <f>((N90/I90)-1)*100%</f>
        <v>0.256333874562648</v>
      </c>
      <c r="Q90" s="381">
        <v>4.0382149362477229</v>
      </c>
      <c r="R90" s="382">
        <f>Q90*$R$33</f>
        <v>189.92936309653916</v>
      </c>
      <c r="S90" s="386">
        <f>((J90-R90)/J90)*100%</f>
        <v>0.13392903284751867</v>
      </c>
      <c r="T90" s="260">
        <f>((I90-R90)/I90)*100%</f>
        <v>0.1905878811659053</v>
      </c>
      <c r="U90" s="261">
        <v>3.2309999999999999</v>
      </c>
      <c r="V90" s="239">
        <f>U90*$X$31</f>
        <v>3.8771999999999998</v>
      </c>
      <c r="W90" s="262">
        <f>V90*$R$33</f>
        <v>182.35634759999999</v>
      </c>
      <c r="X90" s="263">
        <f>(ROUND(W90/(1-$AA$81),0))</f>
        <v>240</v>
      </c>
      <c r="Y90" s="239">
        <f>Z90*(1-$X$33)</f>
        <v>231.03</v>
      </c>
      <c r="Z90" s="263">
        <f>ROUND(X90/(1-$X$32),0)</f>
        <v>453</v>
      </c>
      <c r="AA90" s="264">
        <f>((X90-W90)/X90)*100%</f>
        <v>0.24018188500000004</v>
      </c>
      <c r="AB90" s="241">
        <f>((Y90-W90)/Y90)*100%</f>
        <v>0.21068109076743283</v>
      </c>
      <c r="AC90" s="242">
        <f>((N90/Y90)-1)*100%</f>
        <v>0.27602475868934739</v>
      </c>
      <c r="AD90" s="266">
        <f>((N90*0.96-W90)/(N90*0.96))*100%</f>
        <v>0.35564949542062402</v>
      </c>
      <c r="AE90" s="261">
        <f>N90/$R$33</f>
        <v>6.2679395318180839</v>
      </c>
      <c r="AF90" s="262">
        <f>(V90/(1-$AA$81))</f>
        <v>5.101578947368421</v>
      </c>
      <c r="AG90" s="1869">
        <v>9.6999999999999993</v>
      </c>
      <c r="AH90" s="267">
        <f>((AF90-V90)/AF90)*100%</f>
        <v>0.24000000000000005</v>
      </c>
      <c r="AI90" s="77">
        <f>AJ90/$AJ$91</f>
        <v>7.6807730756414533E-2</v>
      </c>
      <c r="AJ90" s="333">
        <f>VLOOKUP($B90,[1]Статистика!$B:$D,3,FALSE)</f>
        <v>922</v>
      </c>
      <c r="AK90" s="270">
        <f>AJ90*Q90*S90</f>
        <v>498.649151616381</v>
      </c>
      <c r="AL90" s="77">
        <f>AK90/$AK$91</f>
        <v>-0.26988873463664392</v>
      </c>
      <c r="AM90" s="77">
        <f>AJ90/$AJ$111</f>
        <v>3.1254978931703464E-3</v>
      </c>
      <c r="AN90" s="77">
        <f>AK90/$AK$111</f>
        <v>-5.1952049308107144E-2</v>
      </c>
      <c r="AO90" s="77">
        <f>AJ90/$AJ$23</f>
        <v>4.3326599383559293E-4</v>
      </c>
      <c r="AP90" s="77">
        <f>AK90/$AK$23</f>
        <v>-4.3013469246309249E-3</v>
      </c>
    </row>
    <row r="91" spans="1:42" ht="15.75" thickBot="1">
      <c r="A91" s="187"/>
      <c r="O91" s="298">
        <f>AVERAGE(O85:O90)</f>
        <v>0.31033381727468778</v>
      </c>
      <c r="P91" s="298">
        <f>AVERAGE(P89:P90)</f>
        <v>0.24009395107749643</v>
      </c>
      <c r="S91" s="299" t="s">
        <v>973</v>
      </c>
      <c r="T91" s="418" t="s">
        <v>973</v>
      </c>
      <c r="U91" s="301"/>
      <c r="V91" s="301"/>
      <c r="W91" s="301"/>
      <c r="X91" s="301"/>
      <c r="Y91" s="301"/>
      <c r="Z91" s="301"/>
      <c r="AA91" s="302"/>
      <c r="AB91" s="302"/>
      <c r="AC91" s="302"/>
      <c r="AD91" s="302">
        <f>AVERAGE(AD89:AD90)</f>
        <v>0.25287195136450102</v>
      </c>
      <c r="AE91" s="301"/>
      <c r="AF91" s="301"/>
      <c r="AG91" s="1871"/>
      <c r="AH91" s="302"/>
      <c r="AI91" s="303">
        <f>S89*AI89+S90*AI90</f>
        <v>-5.6421901605963713E-2</v>
      </c>
      <c r="AJ91" s="304">
        <f>SUM(AJ89:AJ90)</f>
        <v>12004</v>
      </c>
      <c r="AK91" s="305">
        <f>SUM(AK89:AK90)</f>
        <v>-1847.6100986123834</v>
      </c>
      <c r="AL91" s="16"/>
      <c r="AM91" s="307">
        <f>SUM(AM89:AM90)</f>
        <v>4.0692491008261215E-2</v>
      </c>
      <c r="AN91" s="307">
        <f>SUM(AN89:AN90)</f>
        <v>0.19249432318118476</v>
      </c>
      <c r="AO91" s="308">
        <f>SUM(AO88:AO90)</f>
        <v>5.6409164750568959E-3</v>
      </c>
      <c r="AP91" s="308">
        <f>SUM(AP88:AP90)</f>
        <v>1.5937482275508483E-2</v>
      </c>
    </row>
    <row r="92" spans="1:42">
      <c r="A92" s="149" t="s">
        <v>62</v>
      </c>
      <c r="B92" s="157"/>
      <c r="C92" s="157" t="s">
        <v>1127</v>
      </c>
      <c r="AI92" s="16"/>
      <c r="AJ92" s="311"/>
      <c r="AK92" s="312"/>
      <c r="AL92" s="16"/>
      <c r="AO92" s="13"/>
      <c r="AP92" s="13"/>
    </row>
    <row r="93" spans="1:42" ht="15.75" thickBot="1">
      <c r="A93" s="187"/>
      <c r="C93" s="148" t="s">
        <v>31</v>
      </c>
      <c r="K93" s="2309" t="s">
        <v>1128</v>
      </c>
      <c r="L93" s="2309"/>
      <c r="M93" s="2309"/>
      <c r="N93" s="2309"/>
      <c r="O93" s="2309"/>
      <c r="P93" s="1852"/>
      <c r="T93" s="2310"/>
      <c r="U93" s="2310" t="s">
        <v>1089</v>
      </c>
      <c r="V93" s="2310"/>
      <c r="W93" s="309"/>
      <c r="X93" s="309"/>
      <c r="Y93" s="309"/>
      <c r="Z93" s="309"/>
      <c r="AA93" s="346">
        <v>0.14000000000000001</v>
      </c>
      <c r="AB93" s="421"/>
      <c r="AC93" s="1851"/>
      <c r="AD93" s="1851"/>
      <c r="AE93" s="188"/>
      <c r="AF93" s="188"/>
      <c r="AG93" s="1866"/>
      <c r="AH93" s="1851"/>
      <c r="AI93" s="16"/>
      <c r="AJ93" s="311"/>
      <c r="AK93" s="312"/>
      <c r="AL93" s="16"/>
      <c r="AO93" s="13"/>
      <c r="AP93" s="13"/>
    </row>
    <row r="94" spans="1:42" ht="51.75" customHeight="1" thickBot="1">
      <c r="A94" s="187"/>
      <c r="B94" s="369" t="s">
        <v>10</v>
      </c>
      <c r="C94" s="370" t="s">
        <v>11</v>
      </c>
      <c r="D94" s="370" t="s">
        <v>12</v>
      </c>
      <c r="E94" s="370" t="s">
        <v>13</v>
      </c>
      <c r="F94" s="370" t="s">
        <v>14</v>
      </c>
      <c r="G94" s="371" t="s">
        <v>15</v>
      </c>
      <c r="H94" s="372" t="s">
        <v>1090</v>
      </c>
      <c r="I94" s="372">
        <f>$C$4</f>
        <v>0.49</v>
      </c>
      <c r="J94" s="394">
        <f>$C$4</f>
        <v>0.49</v>
      </c>
      <c r="K94" s="422" t="s">
        <v>15</v>
      </c>
      <c r="L94" s="423" t="s">
        <v>12</v>
      </c>
      <c r="M94" s="196" t="s">
        <v>1091</v>
      </c>
      <c r="N94" s="197" t="s">
        <v>993</v>
      </c>
      <c r="O94" s="424" t="s">
        <v>1092</v>
      </c>
      <c r="P94" s="199" t="s">
        <v>1092</v>
      </c>
      <c r="Q94" s="200" t="s">
        <v>1093</v>
      </c>
      <c r="R94" s="201" t="s">
        <v>1094</v>
      </c>
      <c r="S94" s="350" t="s">
        <v>1095</v>
      </c>
      <c r="T94" s="203" t="s">
        <v>1095</v>
      </c>
      <c r="U94" s="204" t="s">
        <v>1096</v>
      </c>
      <c r="V94" s="205" t="s">
        <v>1093</v>
      </c>
      <c r="W94" s="206" t="s">
        <v>1094</v>
      </c>
      <c r="X94" s="207" t="s">
        <v>1097</v>
      </c>
      <c r="Y94" s="208">
        <f>$X$33</f>
        <v>0.49</v>
      </c>
      <c r="Z94" s="207" t="s">
        <v>1098</v>
      </c>
      <c r="AA94" s="209" t="s">
        <v>1099</v>
      </c>
      <c r="AB94" s="209" t="s">
        <v>1100</v>
      </c>
      <c r="AC94" s="210" t="s">
        <v>1092</v>
      </c>
      <c r="AD94" s="211" t="s">
        <v>1101</v>
      </c>
      <c r="AE94" s="212" t="s">
        <v>1102</v>
      </c>
      <c r="AF94" s="208" t="s">
        <v>1103</v>
      </c>
      <c r="AG94" s="1867" t="s">
        <v>1104</v>
      </c>
      <c r="AH94" s="213" t="s">
        <v>1116</v>
      </c>
      <c r="AI94" s="16"/>
      <c r="AJ94" s="483" t="s">
        <v>1107</v>
      </c>
      <c r="AK94" s="484" t="s">
        <v>1108</v>
      </c>
      <c r="AL94" s="16"/>
      <c r="AM94" s="221" t="s">
        <v>1110</v>
      </c>
      <c r="AN94" s="221" t="s">
        <v>1111</v>
      </c>
      <c r="AO94" s="220" t="s">
        <v>1112</v>
      </c>
      <c r="AP94" s="221" t="s">
        <v>1113</v>
      </c>
    </row>
    <row r="95" spans="1:42" ht="16.5" thickBot="1">
      <c r="A95" s="271"/>
      <c r="B95" s="485" t="s">
        <v>329</v>
      </c>
      <c r="C95" s="486" t="s">
        <v>190</v>
      </c>
      <c r="D95" s="487">
        <v>260</v>
      </c>
      <c r="E95" s="486">
        <v>14</v>
      </c>
      <c r="F95" s="487">
        <v>72</v>
      </c>
      <c r="G95" s="487">
        <v>256</v>
      </c>
      <c r="H95" s="488">
        <f>G95*(1+$H$33)</f>
        <v>273.92</v>
      </c>
      <c r="I95" s="488">
        <f>H95-H95*$J$35</f>
        <v>139.69920000000002</v>
      </c>
      <c r="J95" s="489">
        <f>G95-G95*$J$35</f>
        <v>130.56</v>
      </c>
      <c r="K95" s="490">
        <v>296</v>
      </c>
      <c r="L95" s="491">
        <v>255</v>
      </c>
      <c r="M95" s="492">
        <f>L95/D95*100%</f>
        <v>0.98076923076923073</v>
      </c>
      <c r="N95" s="493">
        <f>K95-(K95*$N$33)</f>
        <v>162.79999999999998</v>
      </c>
      <c r="O95" s="494">
        <f>((N95/J95)-1)*100%</f>
        <v>0.24693627450980382</v>
      </c>
      <c r="P95" s="482">
        <f>((N95/I95)-1)*100%</f>
        <v>0.16536100421476974</v>
      </c>
      <c r="Q95" s="495">
        <v>3.35</v>
      </c>
      <c r="R95" s="496">
        <f>Q95*$R$33</f>
        <v>157.56055000000001</v>
      </c>
      <c r="S95" s="497">
        <f>((J95-R95)/J95)*100%</f>
        <v>-0.20680568321078435</v>
      </c>
      <c r="T95" s="237">
        <f>((I95-R95)/I95)*100%</f>
        <v>-0.12785577870166748</v>
      </c>
      <c r="U95" s="238">
        <v>2.359</v>
      </c>
      <c r="V95" s="239">
        <f>U95*$X$31</f>
        <v>2.8308</v>
      </c>
      <c r="W95" s="239">
        <f>V95*$R$33</f>
        <v>133.14101640000001</v>
      </c>
      <c r="X95" s="240">
        <f>(ROUND(W95/(1-$AB$87),0))</f>
        <v>155</v>
      </c>
      <c r="Y95" s="239">
        <f>Z95*(1-$X$33)</f>
        <v>148.92000000000002</v>
      </c>
      <c r="Z95" s="240">
        <f>ROUND(X95/(1-$X$32),0)</f>
        <v>292</v>
      </c>
      <c r="AA95" s="241">
        <f>((X95-W95)/X95)*100%</f>
        <v>0.14102570064516121</v>
      </c>
      <c r="AB95" s="241">
        <f>((Y95-W95)/Y95)*100%</f>
        <v>0.10595610797743757</v>
      </c>
      <c r="AC95" s="242">
        <f>((N95/Y95)-1)*100%</f>
        <v>9.3204405049690964E-2</v>
      </c>
      <c r="AD95" s="243">
        <f>((N95*0.96-W95)/(N95*0.96))*100%</f>
        <v>0.1481046759828008</v>
      </c>
      <c r="AE95" s="238">
        <f>N95/$R$33</f>
        <v>3.4613994429443151</v>
      </c>
      <c r="AF95" s="239">
        <f>(V95/(1-$AB$87))</f>
        <v>3.291627906976744</v>
      </c>
      <c r="AG95" s="1868">
        <v>6.25</v>
      </c>
      <c r="AH95" s="244">
        <f>((AF95-V95)/AF95)*100%</f>
        <v>0.13999999999999996</v>
      </c>
      <c r="AI95" s="16"/>
      <c r="AJ95" s="498">
        <f>[1]Статистика!D495</f>
        <v>4182</v>
      </c>
      <c r="AK95" s="76">
        <f>AJ95*Q95*S95</f>
        <v>-2897.2855800781258</v>
      </c>
      <c r="AL95" s="16"/>
      <c r="AM95" s="499">
        <f>AJ95/$AJ$111</f>
        <v>1.4176607580518859E-2</v>
      </c>
      <c r="AN95" s="499">
        <f>AK95/$AK$111</f>
        <v>0.30185536830449489</v>
      </c>
      <c r="AO95" s="101">
        <f>AJ95/$AJ$23</f>
        <v>1.9652043234495114E-3</v>
      </c>
      <c r="AP95" s="101">
        <f>AK95/$AK$23</f>
        <v>2.49919815951757E-2</v>
      </c>
    </row>
    <row r="96" spans="1:42" ht="15.75" thickBot="1">
      <c r="A96" s="187"/>
      <c r="O96" s="298">
        <f>AVERAGE(O95)</f>
        <v>0.24693627450980382</v>
      </c>
      <c r="P96" s="298">
        <f>AVERAGE(P95)</f>
        <v>0.16536100421476974</v>
      </c>
      <c r="S96" s="299"/>
      <c r="T96" s="418" t="s">
        <v>973</v>
      </c>
      <c r="U96" s="301"/>
      <c r="V96" s="301"/>
      <c r="W96" s="301"/>
      <c r="X96" s="301"/>
      <c r="Y96" s="301"/>
      <c r="Z96" s="301"/>
      <c r="AA96" s="302"/>
      <c r="AB96" s="302"/>
      <c r="AC96" s="302"/>
      <c r="AD96" s="302"/>
      <c r="AE96" s="301"/>
      <c r="AF96" s="301"/>
      <c r="AG96" s="1871"/>
      <c r="AH96" s="302"/>
      <c r="AI96" s="16"/>
      <c r="AJ96" s="311"/>
      <c r="AK96" s="312"/>
      <c r="AL96" s="16"/>
      <c r="AO96" s="13"/>
      <c r="AP96" s="13"/>
    </row>
    <row r="97" spans="1:42">
      <c r="A97" s="149" t="s">
        <v>63</v>
      </c>
      <c r="B97" s="157"/>
      <c r="C97" s="157" t="s">
        <v>1129</v>
      </c>
      <c r="AI97" s="16"/>
      <c r="AJ97" s="311"/>
      <c r="AK97" s="312"/>
      <c r="AL97" s="16"/>
      <c r="AO97" s="13"/>
      <c r="AP97" s="13"/>
    </row>
    <row r="98" spans="1:42" ht="15.75" thickBot="1">
      <c r="A98" s="187"/>
      <c r="C98" s="148" t="s">
        <v>31</v>
      </c>
      <c r="K98" s="2309" t="s">
        <v>1130</v>
      </c>
      <c r="L98" s="2316"/>
      <c r="M98" s="2316"/>
      <c r="N98" s="2309"/>
      <c r="O98" s="2309"/>
      <c r="P98" s="1852"/>
      <c r="T98" s="2310"/>
      <c r="U98" s="2310" t="s">
        <v>1089</v>
      </c>
      <c r="V98" s="2310"/>
      <c r="W98" s="309"/>
      <c r="X98" s="309"/>
      <c r="Y98" s="309"/>
      <c r="Z98" s="309"/>
      <c r="AA98" s="346">
        <v>0.13</v>
      </c>
      <c r="AB98" s="421"/>
      <c r="AC98" s="1851"/>
      <c r="AD98" s="1851"/>
      <c r="AE98" s="188"/>
      <c r="AF98" s="188"/>
      <c r="AG98" s="1866"/>
      <c r="AH98" s="1851"/>
      <c r="AI98" s="16"/>
      <c r="AJ98" s="311"/>
      <c r="AK98" s="312"/>
      <c r="AL98" s="16"/>
      <c r="AO98" s="13"/>
      <c r="AP98" s="13"/>
    </row>
    <row r="99" spans="1:42" ht="108.75" thickBot="1">
      <c r="A99" s="187"/>
      <c r="B99" s="369" t="s">
        <v>10</v>
      </c>
      <c r="C99" s="370" t="s">
        <v>11</v>
      </c>
      <c r="D99" s="370" t="s">
        <v>12</v>
      </c>
      <c r="E99" s="370" t="s">
        <v>13</v>
      </c>
      <c r="F99" s="370" t="s">
        <v>14</v>
      </c>
      <c r="G99" s="371" t="s">
        <v>15</v>
      </c>
      <c r="H99" s="372" t="s">
        <v>1090</v>
      </c>
      <c r="I99" s="372">
        <f>$C$4</f>
        <v>0.49</v>
      </c>
      <c r="J99" s="373">
        <f>$C$4</f>
        <v>0.49</v>
      </c>
      <c r="K99" s="500" t="s">
        <v>15</v>
      </c>
      <c r="L99" s="501" t="s">
        <v>12</v>
      </c>
      <c r="M99" s="316" t="s">
        <v>1091</v>
      </c>
      <c r="N99" s="349" t="s">
        <v>993</v>
      </c>
      <c r="O99" s="317" t="s">
        <v>1092</v>
      </c>
      <c r="P99" s="199" t="s">
        <v>1092</v>
      </c>
      <c r="Q99" s="200" t="s">
        <v>1093</v>
      </c>
      <c r="R99" s="201" t="s">
        <v>1094</v>
      </c>
      <c r="S99" s="350" t="s">
        <v>1095</v>
      </c>
      <c r="T99" s="203" t="s">
        <v>1095</v>
      </c>
      <c r="U99" s="204" t="s">
        <v>1096</v>
      </c>
      <c r="V99" s="205" t="s">
        <v>1093</v>
      </c>
      <c r="W99" s="206" t="s">
        <v>1094</v>
      </c>
      <c r="X99" s="207" t="s">
        <v>1097</v>
      </c>
      <c r="Y99" s="208">
        <f>$X$33</f>
        <v>0.49</v>
      </c>
      <c r="Z99" s="207" t="s">
        <v>1098</v>
      </c>
      <c r="AA99" s="209" t="s">
        <v>1099</v>
      </c>
      <c r="AB99" s="209" t="s">
        <v>1100</v>
      </c>
      <c r="AC99" s="210" t="s">
        <v>1092</v>
      </c>
      <c r="AD99" s="211" t="s">
        <v>1101</v>
      </c>
      <c r="AE99" s="212" t="s">
        <v>1102</v>
      </c>
      <c r="AF99" s="208" t="s">
        <v>1103</v>
      </c>
      <c r="AG99" s="1867" t="s">
        <v>1104</v>
      </c>
      <c r="AH99" s="213" t="s">
        <v>1116</v>
      </c>
      <c r="AI99" s="218" t="s">
        <v>1106</v>
      </c>
      <c r="AJ99" s="319" t="s">
        <v>1107</v>
      </c>
      <c r="AK99" s="320" t="s">
        <v>1108</v>
      </c>
      <c r="AL99" s="219" t="s">
        <v>1109</v>
      </c>
      <c r="AM99" s="221" t="s">
        <v>1110</v>
      </c>
      <c r="AN99" s="221" t="s">
        <v>1111</v>
      </c>
      <c r="AO99" s="220" t="s">
        <v>1112</v>
      </c>
      <c r="AP99" s="221" t="s">
        <v>1113</v>
      </c>
    </row>
    <row r="100" spans="1:42" ht="15.75">
      <c r="A100" s="271"/>
      <c r="B100" s="395" t="s">
        <v>330</v>
      </c>
      <c r="C100" s="223" t="s">
        <v>190</v>
      </c>
      <c r="D100" s="468">
        <v>250</v>
      </c>
      <c r="E100" s="223">
        <v>6</v>
      </c>
      <c r="F100" s="224">
        <v>50</v>
      </c>
      <c r="G100" s="396">
        <v>216</v>
      </c>
      <c r="H100" s="397">
        <f>G100*(1+$H$33)</f>
        <v>231.12</v>
      </c>
      <c r="I100" s="397">
        <f>H100-H100*$J$35</f>
        <v>117.8712</v>
      </c>
      <c r="J100" s="227">
        <f>G100-G100*$J$35</f>
        <v>110.16</v>
      </c>
      <c r="K100" s="321">
        <v>262</v>
      </c>
      <c r="L100" s="322">
        <v>237</v>
      </c>
      <c r="M100" s="335">
        <f>L100/D100*100%</f>
        <v>0.94799999999999995</v>
      </c>
      <c r="N100" s="353">
        <f>K100-(K100*$N$33)</f>
        <v>144.1</v>
      </c>
      <c r="O100" s="329">
        <f>((N100/J100)-1)*100%</f>
        <v>0.30809731299927368</v>
      </c>
      <c r="P100" s="438">
        <f>((N100/I100)-1)*100%</f>
        <v>0.22252085327034932</v>
      </c>
      <c r="Q100" s="385">
        <v>2.62</v>
      </c>
      <c r="R100" s="382">
        <f>Q100*$R$33</f>
        <v>123.22646</v>
      </c>
      <c r="S100" s="324">
        <f>((J100-R100)/J100)*100%</f>
        <v>-0.11861347131445177</v>
      </c>
      <c r="T100" s="237">
        <f>((I100-R100)/I100)*100%</f>
        <v>-4.5433150761169827E-2</v>
      </c>
      <c r="U100" s="238">
        <v>2.141</v>
      </c>
      <c r="V100" s="239">
        <f>U100*$X$31</f>
        <v>2.5691999999999999</v>
      </c>
      <c r="W100" s="239">
        <f>V100*$R$33</f>
        <v>120.8371836</v>
      </c>
      <c r="X100" s="240">
        <f>(ROUND(W100/(1-$AA$98),0))</f>
        <v>139</v>
      </c>
      <c r="Y100" s="239">
        <f>Z100*(1-$X$33)</f>
        <v>133.62</v>
      </c>
      <c r="Z100" s="240">
        <f>ROUND(X100/(1-$X$32),0)</f>
        <v>262</v>
      </c>
      <c r="AA100" s="241">
        <f>((X100-W100)/X100)*100%</f>
        <v>0.13066774388489205</v>
      </c>
      <c r="AB100" s="241">
        <f>((Y100-W100)/Y100)*100%</f>
        <v>9.5665442299057032E-2</v>
      </c>
      <c r="AC100" s="242">
        <f>((N100/Y100)-1)*100%</f>
        <v>7.8431372549019551E-2</v>
      </c>
      <c r="AD100" s="243">
        <f>((N100*0.96-W100)/(N100*0.96))*100%</f>
        <v>0.12649502949340724</v>
      </c>
      <c r="AE100" s="238">
        <f>N100/$R$33</f>
        <v>3.0638062636871983</v>
      </c>
      <c r="AF100" s="239">
        <f>(V100/(1-$AA$98))</f>
        <v>2.9531034482758618</v>
      </c>
      <c r="AG100" s="1868">
        <v>5.7</v>
      </c>
      <c r="AH100" s="244">
        <f>((AF100-V100)/AF100)*100%</f>
        <v>0.12999999999999995</v>
      </c>
      <c r="AI100" s="50">
        <f>AJ100/$AJ$103</f>
        <v>0.78369950389794474</v>
      </c>
      <c r="AJ100" s="354">
        <f>VLOOKUP($B100,[1]Статистика!$B:$D,3,FALSE)</f>
        <v>5529</v>
      </c>
      <c r="AK100" s="355">
        <f>AJ100*Q100*S100</f>
        <v>-1718.2323731917222</v>
      </c>
      <c r="AL100" s="50">
        <f>AK100/$AK$103</f>
        <v>0.62580497001921165</v>
      </c>
      <c r="AM100" s="92">
        <f>AJ100/$AJ$111</f>
        <v>1.874281762618096E-2</v>
      </c>
      <c r="AN100" s="92">
        <f>AK100/$AK$111</f>
        <v>0.17901503027827442</v>
      </c>
      <c r="AO100" s="77">
        <f>AJ100/$AJ$23</f>
        <v>2.5981862038145266E-3</v>
      </c>
      <c r="AP100" s="77">
        <f>AK100/$AK$23</f>
        <v>1.482147018654773E-2</v>
      </c>
    </row>
    <row r="101" spans="1:42" ht="15.75">
      <c r="A101" s="187"/>
      <c r="B101" s="356" t="s">
        <v>331</v>
      </c>
      <c r="C101" s="250" t="s">
        <v>192</v>
      </c>
      <c r="D101" s="471">
        <v>355</v>
      </c>
      <c r="E101" s="250">
        <v>5</v>
      </c>
      <c r="F101" s="251">
        <v>40</v>
      </c>
      <c r="G101" s="328">
        <v>290</v>
      </c>
      <c r="H101" s="357">
        <f>G101*(1+$H$33)</f>
        <v>310.3</v>
      </c>
      <c r="I101" s="357">
        <f>H101-H101*$J$35</f>
        <v>158.25300000000001</v>
      </c>
      <c r="J101" s="253">
        <f>G101-G101*$J$35</f>
        <v>147.9</v>
      </c>
      <c r="K101" s="321">
        <v>381</v>
      </c>
      <c r="L101" s="322">
        <v>328</v>
      </c>
      <c r="M101" s="323">
        <f>L101/D101*100%</f>
        <v>0.92394366197183098</v>
      </c>
      <c r="N101" s="353">
        <f>K101-(K101*$N$33)</f>
        <v>209.54999999999998</v>
      </c>
      <c r="O101" s="329">
        <f>((N101/J101)-1)*100%</f>
        <v>0.41683569979716006</v>
      </c>
      <c r="P101" s="330">
        <f>((N101/I101)-1)*100%</f>
        <v>0.3241455138291216</v>
      </c>
      <c r="Q101" s="381">
        <v>3.67</v>
      </c>
      <c r="R101" s="382">
        <f>Q101*$R$33</f>
        <v>172.61111</v>
      </c>
      <c r="S101" s="329">
        <f>((J101-R101)/J101)*100%</f>
        <v>-0.1670798512508451</v>
      </c>
      <c r="T101" s="260">
        <f>((I101-R101)/I101)*100%</f>
        <v>-9.0728832944714982E-2</v>
      </c>
      <c r="U101" s="261">
        <v>3.008</v>
      </c>
      <c r="V101" s="239">
        <f>U101*$X$31</f>
        <v>3.6095999999999999</v>
      </c>
      <c r="W101" s="262">
        <f>V101*$R$33</f>
        <v>169.77031679999999</v>
      </c>
      <c r="X101" s="240">
        <f>(ROUND(W101/(1-$AA$98),0))</f>
        <v>195</v>
      </c>
      <c r="Y101" s="239">
        <f>Z101*(1-$X$33)</f>
        <v>187.68</v>
      </c>
      <c r="Z101" s="263">
        <f>ROUND(X101/(1-$X$32),0)</f>
        <v>368</v>
      </c>
      <c r="AA101" s="264">
        <f>((X101-W101)/X101)*100%</f>
        <v>0.12938299076923082</v>
      </c>
      <c r="AB101" s="241">
        <f>((Y101-W101)/Y101)*100%</f>
        <v>9.542670076726352E-2</v>
      </c>
      <c r="AC101" s="242">
        <f>((N101/Y101)-1)*100%</f>
        <v>0.11652813299232734</v>
      </c>
      <c r="AD101" s="266">
        <f>((N101*0.96-W101)/(N101*0.96))*100%</f>
        <v>0.15607692674779286</v>
      </c>
      <c r="AE101" s="261">
        <f>N101/$R$33</f>
        <v>4.4553823910871087</v>
      </c>
      <c r="AF101" s="239">
        <f>(V101/(1-$AA$98))</f>
        <v>4.1489655172413791</v>
      </c>
      <c r="AG101" s="1869">
        <v>8</v>
      </c>
      <c r="AH101" s="267">
        <f>((AF101-V101)/AF101)*100%</f>
        <v>0.12999999999999998</v>
      </c>
      <c r="AI101" s="502">
        <f>AJ101/$AJ$103</f>
        <v>0.12515946137491141</v>
      </c>
      <c r="AJ101" s="503">
        <f>VLOOKUP($B101,[1]Статистика!$B:$D,3,FALSE)</f>
        <v>883</v>
      </c>
      <c r="AK101" s="400">
        <f>AJ101*Q101*S101</f>
        <v>-541.44063676200119</v>
      </c>
      <c r="AL101" s="502">
        <f>AK101/$AK$103</f>
        <v>0.1972004757578964</v>
      </c>
      <c r="AM101" s="77">
        <f>AJ101/$AJ$111</f>
        <v>2.993291366235809E-3</v>
      </c>
      <c r="AN101" s="77">
        <f>AK101/$AK$111</f>
        <v>5.6410304855211063E-2</v>
      </c>
      <c r="AO101" s="77">
        <f>AJ101/$AJ$23</f>
        <v>4.1493912424818717E-4</v>
      </c>
      <c r="AP101" s="77">
        <f>AK101/$AK$23</f>
        <v>4.6704662190985196E-3</v>
      </c>
    </row>
    <row r="102" spans="1:42" ht="16.5" thickBot="1">
      <c r="A102" s="187"/>
      <c r="B102" s="473" t="s">
        <v>332</v>
      </c>
      <c r="C102" s="275" t="s">
        <v>194</v>
      </c>
      <c r="D102" s="276">
        <v>472</v>
      </c>
      <c r="E102" s="275">
        <v>6</v>
      </c>
      <c r="F102" s="276">
        <v>40</v>
      </c>
      <c r="G102" s="339">
        <v>406</v>
      </c>
      <c r="H102" s="360">
        <f>G102*(1+$H$33)</f>
        <v>434.42</v>
      </c>
      <c r="I102" s="360">
        <f>H102-H102*$J$35</f>
        <v>221.55420000000001</v>
      </c>
      <c r="J102" s="361">
        <f>G102-G102*$J$35</f>
        <v>207.06</v>
      </c>
      <c r="K102" s="340">
        <v>520</v>
      </c>
      <c r="L102" s="341">
        <v>493</v>
      </c>
      <c r="M102" s="342">
        <f>L102/D102*100%</f>
        <v>1.0444915254237288</v>
      </c>
      <c r="N102" s="353">
        <f>K102-(K102*$N$33)</f>
        <v>286</v>
      </c>
      <c r="O102" s="329">
        <f>((N102/J102)-1)*100%</f>
        <v>0.38124215203322698</v>
      </c>
      <c r="P102" s="343">
        <f>((N102/I102)-1)*100%</f>
        <v>0.29088051591890385</v>
      </c>
      <c r="Q102" s="389">
        <v>5.0599999999999996</v>
      </c>
      <c r="R102" s="390">
        <f>Q102*$R$33</f>
        <v>237.98697999999999</v>
      </c>
      <c r="S102" s="363">
        <f>((J102-R102)/J102)*100%</f>
        <v>-0.14936240703177817</v>
      </c>
      <c r="T102" s="260">
        <f>((I102-R102)/I102)*100%</f>
        <v>-7.4170473861474892E-2</v>
      </c>
      <c r="U102" s="261">
        <v>4.1399999999999997</v>
      </c>
      <c r="V102" s="239">
        <f>U102*$X$31</f>
        <v>4.9679999999999991</v>
      </c>
      <c r="W102" s="262">
        <f>V102*$R$33</f>
        <v>233.65994399999997</v>
      </c>
      <c r="X102" s="240">
        <f>(ROUND(W102/(1-$AA$98),0))</f>
        <v>269</v>
      </c>
      <c r="Y102" s="239">
        <f>Z102*(1-$X$33)</f>
        <v>259.08</v>
      </c>
      <c r="Z102" s="263">
        <f>ROUND(X102/(1-$X$32),0)</f>
        <v>508</v>
      </c>
      <c r="AA102" s="264">
        <f>((X102-W102)/X102)*100%</f>
        <v>0.13137567286245366</v>
      </c>
      <c r="AB102" s="241">
        <f>((Y102-W102)/Y102)*100%</f>
        <v>9.8116628068550329E-2</v>
      </c>
      <c r="AC102" s="242">
        <f>((N102/Y102)-1)*100%</f>
        <v>0.10390612938088628</v>
      </c>
      <c r="AD102" s="266">
        <f>((N102*0.96-W102)/(N102*0.96))*100%</f>
        <v>0.14896582167832181</v>
      </c>
      <c r="AE102" s="261">
        <f>N102/$R$33</f>
        <v>6.0808368592265003</v>
      </c>
      <c r="AF102" s="239">
        <f>(V102/(1-$AA$98))</f>
        <v>5.7103448275862059</v>
      </c>
      <c r="AG102" s="1869">
        <v>10.9</v>
      </c>
      <c r="AH102" s="267">
        <f>((AF102-V102)/AF102)*100%</f>
        <v>0.13</v>
      </c>
      <c r="AI102" s="502">
        <f>AJ102/$AJ$103</f>
        <v>9.1141034727143869E-2</v>
      </c>
      <c r="AJ102" s="503">
        <f>VLOOKUP($B102,[1]Статистика!$B:$D,3,FALSE)</f>
        <v>643</v>
      </c>
      <c r="AK102" s="400">
        <f>AJ102*Q102*S102</f>
        <v>-485.96254027045279</v>
      </c>
      <c r="AL102" s="502">
        <f>AK102/$AK$103</f>
        <v>0.17699455422289195</v>
      </c>
      <c r="AM102" s="77">
        <f>AJ102/$AJ$111</f>
        <v>2.179712738946348E-3</v>
      </c>
      <c r="AN102" s="77">
        <f>AK102/$AK$111</f>
        <v>5.0630287391817935E-2</v>
      </c>
      <c r="AO102" s="77">
        <f>AJ102/$AJ$23</f>
        <v>3.0215838832569009E-4</v>
      </c>
      <c r="AP102" s="77">
        <f>AK102/$AK$23</f>
        <v>4.1919122318817082E-3</v>
      </c>
    </row>
    <row r="103" spans="1:42" ht="15.75" thickBot="1">
      <c r="A103" s="187"/>
      <c r="O103" s="298">
        <f>AVERAGE(O97:O102)</f>
        <v>0.36872505494322022</v>
      </c>
      <c r="P103" s="298">
        <f>AVERAGE(P100:P102)</f>
        <v>0.27918229433945824</v>
      </c>
      <c r="S103" s="299" t="s">
        <v>973</v>
      </c>
      <c r="T103" s="418" t="s">
        <v>973</v>
      </c>
      <c r="U103" s="301"/>
      <c r="V103" s="301"/>
      <c r="W103" s="301"/>
      <c r="X103" s="301"/>
      <c r="Y103" s="301"/>
      <c r="Z103" s="301"/>
      <c r="AA103" s="302"/>
      <c r="AB103" s="302"/>
      <c r="AC103" s="302"/>
      <c r="AD103" s="302">
        <f>AVERAGE(AD100:AD102)</f>
        <v>0.143845925973174</v>
      </c>
      <c r="AE103" s="301"/>
      <c r="AF103" s="301"/>
      <c r="AG103" s="1871"/>
      <c r="AH103" s="302"/>
      <c r="AI103" s="303">
        <f>S100*AI100+S101*AI101+S102*AI102</f>
        <v>-0.12748198714011813</v>
      </c>
      <c r="AJ103" s="304">
        <f>SUM(AJ100:AJ102)</f>
        <v>7055</v>
      </c>
      <c r="AK103" s="305">
        <f>SUM(AK100:AK102)</f>
        <v>-2745.6355502241763</v>
      </c>
      <c r="AL103" s="16"/>
      <c r="AM103" s="307">
        <f>SUM(AM100:AM102)</f>
        <v>2.3915821731363116E-2</v>
      </c>
      <c r="AN103" s="307">
        <f>SUM(AN100:AN102)</f>
        <v>0.28605562252530342</v>
      </c>
      <c r="AO103" s="308">
        <f>SUM(AO100:AO102)</f>
        <v>3.3152837163884039E-3</v>
      </c>
      <c r="AP103" s="308">
        <f>SUM(AP100:AP102)</f>
        <v>2.3683848637527958E-2</v>
      </c>
    </row>
    <row r="104" spans="1:42">
      <c r="A104" s="149" t="s">
        <v>64</v>
      </c>
      <c r="B104" s="157"/>
      <c r="C104" s="157" t="s">
        <v>1131</v>
      </c>
      <c r="AI104" s="16"/>
      <c r="AJ104" s="311"/>
      <c r="AK104" s="312"/>
      <c r="AL104" s="16"/>
      <c r="AO104" s="13"/>
      <c r="AP104" s="13"/>
    </row>
    <row r="105" spans="1:42" ht="15.75" thickBot="1">
      <c r="A105" s="187"/>
      <c r="C105" s="148" t="s">
        <v>27</v>
      </c>
      <c r="K105" s="2309" t="s">
        <v>1132</v>
      </c>
      <c r="L105" s="2309"/>
      <c r="M105" s="2309"/>
      <c r="N105" s="2309"/>
      <c r="O105" s="2309"/>
      <c r="P105" s="1852"/>
      <c r="T105" s="2310"/>
      <c r="U105" s="2310" t="s">
        <v>1089</v>
      </c>
      <c r="V105" s="2310"/>
      <c r="W105" s="309"/>
      <c r="X105" s="309"/>
      <c r="Y105" s="309"/>
      <c r="Z105" s="309"/>
      <c r="AA105" s="346">
        <v>0.13</v>
      </c>
      <c r="AB105" s="421"/>
      <c r="AC105" s="1851"/>
      <c r="AD105" s="1851"/>
      <c r="AE105" s="188"/>
      <c r="AF105" s="188"/>
      <c r="AG105" s="1866"/>
      <c r="AH105" s="1851"/>
      <c r="AI105" s="16"/>
      <c r="AJ105" s="311"/>
      <c r="AK105" s="312"/>
      <c r="AL105" s="16"/>
      <c r="AO105" s="13"/>
      <c r="AP105" s="13"/>
    </row>
    <row r="106" spans="1:42" ht="108.75" thickBot="1">
      <c r="A106" s="187"/>
      <c r="B106" s="369" t="s">
        <v>10</v>
      </c>
      <c r="C106" s="370" t="s">
        <v>11</v>
      </c>
      <c r="D106" s="370" t="s">
        <v>12</v>
      </c>
      <c r="E106" s="370" t="s">
        <v>13</v>
      </c>
      <c r="F106" s="370" t="s">
        <v>14</v>
      </c>
      <c r="G106" s="371" t="s">
        <v>15</v>
      </c>
      <c r="H106" s="372" t="s">
        <v>1090</v>
      </c>
      <c r="I106" s="372">
        <f>$C$4</f>
        <v>0.49</v>
      </c>
      <c r="J106" s="373">
        <f>$C$4</f>
        <v>0.49</v>
      </c>
      <c r="K106" s="422" t="s">
        <v>15</v>
      </c>
      <c r="L106" s="423" t="s">
        <v>12</v>
      </c>
      <c r="M106" s="196" t="s">
        <v>1091</v>
      </c>
      <c r="N106" s="197" t="s">
        <v>993</v>
      </c>
      <c r="O106" s="424" t="s">
        <v>1092</v>
      </c>
      <c r="P106" s="199" t="s">
        <v>1092</v>
      </c>
      <c r="Q106" s="200" t="s">
        <v>1093</v>
      </c>
      <c r="R106" s="201" t="s">
        <v>1094</v>
      </c>
      <c r="S106" s="350" t="s">
        <v>1095</v>
      </c>
      <c r="T106" s="203" t="s">
        <v>1095</v>
      </c>
      <c r="U106" s="204" t="s">
        <v>1096</v>
      </c>
      <c r="V106" s="205" t="s">
        <v>1093</v>
      </c>
      <c r="W106" s="206" t="s">
        <v>1094</v>
      </c>
      <c r="X106" s="207" t="s">
        <v>1097</v>
      </c>
      <c r="Y106" s="208">
        <f>$X$33</f>
        <v>0.49</v>
      </c>
      <c r="Z106" s="207" t="s">
        <v>1098</v>
      </c>
      <c r="AA106" s="209" t="s">
        <v>1099</v>
      </c>
      <c r="AB106" s="209" t="s">
        <v>1100</v>
      </c>
      <c r="AC106" s="210" t="s">
        <v>1092</v>
      </c>
      <c r="AD106" s="211" t="s">
        <v>1101</v>
      </c>
      <c r="AE106" s="212" t="s">
        <v>1102</v>
      </c>
      <c r="AF106" s="208" t="s">
        <v>1103</v>
      </c>
      <c r="AG106" s="1867" t="s">
        <v>1104</v>
      </c>
      <c r="AH106" s="213" t="s">
        <v>1116</v>
      </c>
      <c r="AI106" s="218" t="s">
        <v>1106</v>
      </c>
      <c r="AJ106" s="319" t="s">
        <v>1107</v>
      </c>
      <c r="AK106" s="320" t="s">
        <v>1108</v>
      </c>
      <c r="AL106" s="219" t="s">
        <v>1109</v>
      </c>
      <c r="AM106" s="221" t="s">
        <v>1110</v>
      </c>
      <c r="AN106" s="221" t="s">
        <v>1111</v>
      </c>
      <c r="AO106" s="220" t="s">
        <v>1112</v>
      </c>
      <c r="AP106" s="221" t="s">
        <v>1113</v>
      </c>
    </row>
    <row r="107" spans="1:42" ht="15.75">
      <c r="A107" s="271" t="s">
        <v>16</v>
      </c>
      <c r="B107" s="351" t="s">
        <v>333</v>
      </c>
      <c r="C107" s="250" t="s">
        <v>190</v>
      </c>
      <c r="D107" s="471">
        <v>232</v>
      </c>
      <c r="E107" s="250">
        <v>25</v>
      </c>
      <c r="F107" s="251">
        <v>100</v>
      </c>
      <c r="G107" s="328">
        <v>192</v>
      </c>
      <c r="H107" s="504">
        <f>G107*(1+$H$33)</f>
        <v>205.44</v>
      </c>
      <c r="I107" s="504">
        <f>H107-H107*$J$35</f>
        <v>104.7744</v>
      </c>
      <c r="J107" s="227">
        <f>G107-G107*$J$35</f>
        <v>97.92</v>
      </c>
      <c r="K107" s="427">
        <v>217</v>
      </c>
      <c r="L107" s="478">
        <v>194</v>
      </c>
      <c r="M107" s="505">
        <f>L107/D107*100%</f>
        <v>0.83620689655172409</v>
      </c>
      <c r="N107" s="231">
        <f>K107-(K107*$N$33)</f>
        <v>119.35</v>
      </c>
      <c r="O107" s="437">
        <f>((N107/J107)-1)*100%</f>
        <v>0.21885212418300637</v>
      </c>
      <c r="P107" s="438">
        <f>((N107/I107)-1)*100%</f>
        <v>0.13911413475047341</v>
      </c>
      <c r="Q107" s="385">
        <v>2.41</v>
      </c>
      <c r="R107" s="382">
        <f>Q107*$R$33</f>
        <v>113.34953000000002</v>
      </c>
      <c r="S107" s="383">
        <f>((J107-R107)/J107)*100%</f>
        <v>-0.15757281454248381</v>
      </c>
      <c r="T107" s="237">
        <f>((I107-R107)/I107)*100%</f>
        <v>-8.184375190886338E-2</v>
      </c>
      <c r="U107" s="238">
        <v>1.8740000000000001</v>
      </c>
      <c r="V107" s="239">
        <f>U107*$X$31</f>
        <v>2.2488000000000001</v>
      </c>
      <c r="W107" s="239">
        <f>V107*$R$33</f>
        <v>105.76781040000002</v>
      </c>
      <c r="X107" s="240">
        <f>(ROUND(W107/(1-$AA$98),0))</f>
        <v>122</v>
      </c>
      <c r="Y107" s="239">
        <f>Z107*(1-$X$33)</f>
        <v>117.3</v>
      </c>
      <c r="Z107" s="240">
        <f>ROUND(X107/(1-$X$32),0)</f>
        <v>230</v>
      </c>
      <c r="AA107" s="241">
        <f>((X107-W107)/X107)*100%</f>
        <v>0.13305073442622939</v>
      </c>
      <c r="AB107" s="241">
        <f>((Y107-W107)/Y107)*100%</f>
        <v>9.8313636828644344E-2</v>
      </c>
      <c r="AC107" s="265">
        <f>((N107/Y107)-1)*100%</f>
        <v>1.7476555839727181E-2</v>
      </c>
      <c r="AD107" s="243">
        <f>((N107*0.96-W107)/(N107*0.96))*100%</f>
        <v>7.6876392961876636E-2</v>
      </c>
      <c r="AE107" s="238">
        <f>N107/$R$33</f>
        <v>2.5375799970233666</v>
      </c>
      <c r="AF107" s="239">
        <f>(V107/(1-$AA$98))</f>
        <v>2.5848275862068966</v>
      </c>
      <c r="AG107" s="1868">
        <v>4.87</v>
      </c>
      <c r="AH107" s="244">
        <f>((AF107-V107)/AF107)*100%</f>
        <v>0.12999999999999995</v>
      </c>
      <c r="AI107" s="92">
        <f>AJ107/$AJ$109</f>
        <v>0.83839061190276609</v>
      </c>
      <c r="AJ107" s="338">
        <f>VLOOKUP($B107,[1]Статистика!$B:$D,3,FALSE)</f>
        <v>10002</v>
      </c>
      <c r="AK107" s="297">
        <f>AJ107*Q107*S107</f>
        <v>-3798.2643314399547</v>
      </c>
      <c r="AL107" s="92">
        <f>AK107/$AK$109</f>
        <v>0.91999134923704673</v>
      </c>
      <c r="AM107" s="92">
        <f>AJ107/$AJ$111</f>
        <v>3.3905889292288292E-2</v>
      </c>
      <c r="AN107" s="92">
        <f>AK107/$AK$111</f>
        <v>0.39572435888550456</v>
      </c>
      <c r="AO107" s="506">
        <f>AJ107/$AJ$23</f>
        <v>4.7001371695700655E-3</v>
      </c>
      <c r="AP107" s="506">
        <f>AK107/$AK$23</f>
        <v>3.2763823116946582E-2</v>
      </c>
    </row>
    <row r="108" spans="1:42" ht="16.5" thickBot="1">
      <c r="A108" s="187"/>
      <c r="B108" s="473" t="s">
        <v>334</v>
      </c>
      <c r="C108" s="275" t="s">
        <v>192</v>
      </c>
      <c r="D108" s="474">
        <v>345</v>
      </c>
      <c r="E108" s="275">
        <v>15</v>
      </c>
      <c r="F108" s="276">
        <v>60</v>
      </c>
      <c r="G108" s="339">
        <v>290</v>
      </c>
      <c r="H108" s="360">
        <f>G108*(1+$H$33)</f>
        <v>310.3</v>
      </c>
      <c r="I108" s="360">
        <f>H108-H108*$J$35</f>
        <v>158.25300000000001</v>
      </c>
      <c r="J108" s="361">
        <f>G108-G108*$J$35</f>
        <v>147.9</v>
      </c>
      <c r="K108" s="340">
        <v>324</v>
      </c>
      <c r="L108" s="341">
        <v>283</v>
      </c>
      <c r="M108" s="507">
        <f>L108/D108*100%</f>
        <v>0.82028985507246377</v>
      </c>
      <c r="N108" s="282">
        <f>K108-(K108*$N$33)</f>
        <v>178.2</v>
      </c>
      <c r="O108" s="448">
        <f>((N108/J108)-1)*100%</f>
        <v>0.20486815415821491</v>
      </c>
      <c r="P108" s="482">
        <f>((N108/I108)-1)*100%</f>
        <v>0.12604500388618201</v>
      </c>
      <c r="Q108" s="381">
        <v>3.3074919614147911</v>
      </c>
      <c r="R108" s="382">
        <f>Q108*$R$33</f>
        <v>155.56126942122188</v>
      </c>
      <c r="S108" s="386">
        <f>((J108-R108)/J108)*100%</f>
        <v>-5.1800334152953847E-2</v>
      </c>
      <c r="T108" s="260">
        <f>((I108-R108)/I108)*100%</f>
        <v>1.7009033501912345E-2</v>
      </c>
      <c r="U108" s="261">
        <v>2.7330000000000001</v>
      </c>
      <c r="V108" s="239">
        <f>U108*$X$31</f>
        <v>3.2795999999999998</v>
      </c>
      <c r="W108" s="262">
        <f>V108*$R$33</f>
        <v>154.24942680000001</v>
      </c>
      <c r="X108" s="263">
        <f>(ROUND(W108/(1-$AA$98),0))</f>
        <v>177</v>
      </c>
      <c r="Y108" s="239">
        <f>Z108*(1-$X$33)</f>
        <v>170.34</v>
      </c>
      <c r="Z108" s="263">
        <f>ROUND(X108/(1-$X$32),0)</f>
        <v>334</v>
      </c>
      <c r="AA108" s="264">
        <f>((X108-W108)/X108)*100%</f>
        <v>0.12853431186440673</v>
      </c>
      <c r="AB108" s="241">
        <f>((Y108-W108)/Y108)*100%</f>
        <v>9.4461507573089076E-2</v>
      </c>
      <c r="AC108" s="242">
        <f>((N108/Y108)-1)*100%</f>
        <v>4.6143008101444005E-2</v>
      </c>
      <c r="AD108" s="266">
        <f>((N108*0.96-W108)/(N108*0.96))*100%</f>
        <v>9.8336216329966142E-2</v>
      </c>
      <c r="AE108" s="261">
        <f>N108/$R$33</f>
        <v>3.7888291199795883</v>
      </c>
      <c r="AF108" s="262">
        <f>(V108/(1-$AA$98))</f>
        <v>3.7696551724137928</v>
      </c>
      <c r="AG108" s="1869">
        <v>7.11</v>
      </c>
      <c r="AH108" s="267">
        <f>((AF108-V108)/AF108)*100%</f>
        <v>0.12999999999999998</v>
      </c>
      <c r="AI108" s="77">
        <f>AJ108/$AJ$109</f>
        <v>0.16160938809723385</v>
      </c>
      <c r="AJ108" s="333">
        <f>VLOOKUP($B108,[1]Статистика!$B:$D,3,FALSE)</f>
        <v>1928</v>
      </c>
      <c r="AK108" s="270">
        <f>AJ108*Q108*S108</f>
        <v>-330.3226760247062</v>
      </c>
      <c r="AL108" s="77">
        <f>AK108/$AK$109</f>
        <v>8.0008650762953215E-2</v>
      </c>
      <c r="AM108" s="77">
        <f>AJ108/$AJ$111</f>
        <v>6.5357483058920045E-3</v>
      </c>
      <c r="AN108" s="77">
        <f>AK108/$AK$111</f>
        <v>3.4414858416571881E-2</v>
      </c>
      <c r="AO108" s="506">
        <f>AJ108/$AJ$23</f>
        <v>9.0600524524405985E-4</v>
      </c>
      <c r="AP108" s="506">
        <f>AK108/$AK$23</f>
        <v>2.8493629680288661E-3</v>
      </c>
    </row>
    <row r="109" spans="1:42" ht="15.75" thickBot="1">
      <c r="A109" s="187"/>
      <c r="B109" s="413"/>
      <c r="C109" s="413"/>
      <c r="D109" s="414"/>
      <c r="E109" s="413"/>
      <c r="F109" s="414"/>
      <c r="G109" s="415"/>
      <c r="H109" s="416"/>
      <c r="I109" s="416"/>
      <c r="J109" s="417"/>
      <c r="O109" s="298">
        <f>AVERAGE(O103:O108)</f>
        <v>0.26414844442814717</v>
      </c>
      <c r="P109" s="298">
        <f>AVERAGE(P107:P108)</f>
        <v>0.13257956931832771</v>
      </c>
      <c r="S109" s="508">
        <f>AVERAGE(S36:S41,S45:S50,S54:S56,S60:S62,S66:S68,S74:S76,S83:S85,S89:S90,S95,S100:S102,S107:S108)</f>
        <v>-3.1437531053228808E-2</v>
      </c>
      <c r="T109" s="509" t="s">
        <v>973</v>
      </c>
      <c r="U109" s="510"/>
      <c r="V109" s="510"/>
      <c r="W109" s="510"/>
      <c r="X109" s="510"/>
      <c r="Y109" s="510"/>
      <c r="Z109" s="510"/>
      <c r="AA109" s="511"/>
      <c r="AB109" s="511"/>
      <c r="AC109" s="511"/>
      <c r="AD109" s="511">
        <f>AVERAGE(AD107:AD108)</f>
        <v>8.7606304645921396E-2</v>
      </c>
      <c r="AE109" s="510"/>
      <c r="AF109" s="510"/>
      <c r="AG109" s="1874"/>
      <c r="AH109" s="511"/>
      <c r="AI109" s="512">
        <f>S107*AI107+S108*AI108</f>
        <v>-0.14047898870920522</v>
      </c>
      <c r="AJ109" s="513">
        <f>SUM(AJ107:AJ108)</f>
        <v>11930</v>
      </c>
      <c r="AK109" s="514">
        <f>SUM(AK107:AK108)</f>
        <v>-4128.5870074646609</v>
      </c>
      <c r="AM109" s="307">
        <f>SUM(AM107:AM108)</f>
        <v>4.0441637598180299E-2</v>
      </c>
      <c r="AN109" s="307">
        <f>SUM(AN107:AN108)</f>
        <v>0.43013921730207644</v>
      </c>
      <c r="AO109" s="308">
        <f>SUM(AO106:AO108)</f>
        <v>5.6061424148141255E-3</v>
      </c>
      <c r="AP109" s="308">
        <f>SUM(AP106:AP108)</f>
        <v>3.5613186084975448E-2</v>
      </c>
    </row>
    <row r="110" spans="1:42" ht="32.450000000000003" customHeight="1" thickBot="1">
      <c r="B110" s="515"/>
      <c r="C110" s="413"/>
      <c r="D110" s="516"/>
      <c r="E110" s="413"/>
      <c r="F110" s="517"/>
      <c r="G110" s="518">
        <f>AVERAGE(S42,S51,S57,S63,S69,S80,S86,S91,S96,S103,S109)</f>
        <v>-3.1437531053228808E-2</v>
      </c>
      <c r="H110" s="519"/>
      <c r="I110" s="519"/>
      <c r="J110" s="520" t="s">
        <v>1133</v>
      </c>
      <c r="K110" s="521">
        <f>AVERAGE(O36:O41,O45:O50,O54:O56,O60:O62,O66:O68,O74:O76,O83:O85,O89:O90,O95,O100:O102,O107:O108)</f>
        <v>0.27007990719615299</v>
      </c>
      <c r="L110" s="522" t="s">
        <v>1134</v>
      </c>
      <c r="M110" s="521">
        <f>AVERAGE(M36:M41,M45:M50,M54:M56,M60:M62,M66:M68,M74:M76,M83:M85,M89:M90,M95,M100:M102,M107:M108)</f>
        <v>0.97582081031501311</v>
      </c>
      <c r="N110" s="523" t="s">
        <v>1135</v>
      </c>
      <c r="P110" s="524">
        <f>AVERAGE(P36:P41,P45:P50,P54:P56,P60:P62,P66:P68,P74:P76,P83:P85,P89:P90,P95,P100:P102,P107:P108)</f>
        <v>0.18699056747304005</v>
      </c>
      <c r="T110" s="525">
        <f>AVERAGE(T36:T41,T45:T50,T54:T56,T60:T62,T66:T68,T74:T76,T83:T85,T89:T90,T95,T100:T102,T107:T108)</f>
        <v>3.6039690604459142E-2</v>
      </c>
      <c r="U110" s="2318" t="s">
        <v>1136</v>
      </c>
      <c r="V110" s="2319"/>
      <c r="W110" s="2319"/>
      <c r="X110" s="2319"/>
      <c r="Y110" s="2319"/>
      <c r="Z110" s="2320"/>
      <c r="AA110" s="526">
        <f>AVERAGE(AA36:AA41,AA45:AA50,AA54:AA56,AA60:AA62,AA66:AA68,AA74:AA76,AA83:AA85,AA89:AA90,AA95,AA100:AA102,AA107:AA108)</f>
        <v>0.16095810466230365</v>
      </c>
      <c r="AB110" s="527">
        <f>AVERAGE(AB36:AB41,AB45:AB50,AB54:AB56,AB60:AB62,AB66:AB68,AB74:AB76,AB83:AB85,AB89:AB90,AB95,AB100:AB102,AB107:AB108)</f>
        <v>0.12781838476239754</v>
      </c>
      <c r="AC110" s="526">
        <f>AVERAGE(AC36:AC41,AC45:AC50,AC54:AC56,AC60:AC62,AC66:AC68,AC74:AC76,AC83:AC85,AC89:AC90,AC95,AC100:AC102,AC107:AC108)</f>
        <v>8.1599419165275952E-2</v>
      </c>
      <c r="AD110" s="528"/>
      <c r="AE110" s="529"/>
      <c r="AF110" s="529"/>
      <c r="AG110" s="1875"/>
      <c r="AH110" s="526">
        <f>AVERAGE(AH36:AH41,AH45:AH50,AH54:AH56,AH60:AH62,AH66:AH68,AH74:AH76,AH83:AH85,AH89:AH90,AH95,AH100:AH102,AH107:AH108)</f>
        <v>0.16141142857142857</v>
      </c>
      <c r="AI110" s="2313" t="s">
        <v>1137</v>
      </c>
      <c r="AJ110" s="2314"/>
      <c r="AK110" s="2315"/>
      <c r="AO110" s="13"/>
      <c r="AP110" s="13"/>
    </row>
    <row r="111" spans="1:42" ht="15.75" thickBot="1">
      <c r="A111" s="530" t="s">
        <v>570</v>
      </c>
      <c r="C111" s="531" t="s">
        <v>1138</v>
      </c>
      <c r="J111" s="532"/>
      <c r="K111" s="533"/>
      <c r="Q111" s="17"/>
      <c r="AI111" s="534">
        <f>AVERAGE(AI42,AI51,AI57,AI63,AI69,AI80,AI86,AI91,S95,AI103,AI109)</f>
        <v>-4.6754218590990625E-2</v>
      </c>
      <c r="AJ111" s="535">
        <f>SUM(AJ42,AJ51,AJ57,AJ63,AJ69,AJ80,AJ86,AJ91,AJ95,AJ103,AJ109)</f>
        <v>294993</v>
      </c>
      <c r="AK111" s="536">
        <f>SUM(AK42,AK51,AK57,AK63,AK69,AK80,AK86,AK91,AK95,AK103,AK109)</f>
        <v>-9598.2575905541144</v>
      </c>
      <c r="AL111" s="537"/>
      <c r="AM111" s="538">
        <f>SUM(AM42,AM51,AM57,AM63,AM69,AM80,AM86,AM91,AM95,AM103,AM109)</f>
        <v>0.99999999999999989</v>
      </c>
      <c r="AN111" s="538">
        <f>SUM(AN42,AN51,AN57,AN63,AN69,AN80,AN86,AN91,AN95,AN103,AN109)</f>
        <v>1</v>
      </c>
      <c r="AO111" s="539">
        <f>SUM(AO42,AO51,AO57,AO63,AO69,AO80,AO86,AO91,AO95,AO103,AO109)</f>
        <v>0.13862303179993826</v>
      </c>
      <c r="AP111" s="509">
        <f>SUM(AP42,AP51,AP57,AP63,AP69,AP80,AP86,AP91,AP95,AP103,AP109)</f>
        <v>8.2794557325762685E-2</v>
      </c>
    </row>
    <row r="112" spans="1:42" ht="15.75" thickBot="1">
      <c r="A112" s="187"/>
      <c r="C112" s="540" t="s">
        <v>31</v>
      </c>
      <c r="F112" s="158" t="s">
        <v>1077</v>
      </c>
      <c r="G112" s="158"/>
      <c r="H112" s="159"/>
      <c r="I112" s="160"/>
      <c r="J112" s="541"/>
      <c r="K112" s="2316" t="s">
        <v>1139</v>
      </c>
      <c r="L112" s="2316"/>
      <c r="M112" s="2316"/>
      <c r="N112" s="2316"/>
      <c r="O112" s="2316"/>
      <c r="P112" s="1852"/>
      <c r="Q112" s="17"/>
      <c r="T112" s="2310"/>
      <c r="U112" s="2310" t="s">
        <v>1089</v>
      </c>
      <c r="V112" s="2310"/>
      <c r="W112" s="309"/>
      <c r="X112" s="309"/>
      <c r="Y112" s="309"/>
      <c r="Z112" s="309"/>
      <c r="AA112" s="346"/>
      <c r="AB112" s="421">
        <v>0.1</v>
      </c>
      <c r="AC112" s="1851"/>
      <c r="AD112" s="1851"/>
      <c r="AE112" s="188"/>
      <c r="AF112" s="188"/>
      <c r="AG112" s="1866"/>
      <c r="AH112" s="1851"/>
      <c r="AO112" s="13"/>
      <c r="AP112" s="13"/>
    </row>
    <row r="113" spans="1:42" ht="108.75" thickBot="1">
      <c r="A113" s="187"/>
      <c r="B113" s="542" t="s">
        <v>10</v>
      </c>
      <c r="C113" s="543" t="s">
        <v>11</v>
      </c>
      <c r="D113" s="543" t="s">
        <v>12</v>
      </c>
      <c r="E113" s="543" t="s">
        <v>13</v>
      </c>
      <c r="F113" s="543" t="s">
        <v>14</v>
      </c>
      <c r="G113" s="544" t="s">
        <v>15</v>
      </c>
      <c r="H113" s="545" t="s">
        <v>1090</v>
      </c>
      <c r="I113" s="546">
        <f>$C$5</f>
        <v>0.49</v>
      </c>
      <c r="J113" s="547">
        <f>$C$5</f>
        <v>0.49</v>
      </c>
      <c r="K113" s="548" t="s">
        <v>15</v>
      </c>
      <c r="L113" s="423" t="s">
        <v>12</v>
      </c>
      <c r="M113" s="196" t="s">
        <v>1091</v>
      </c>
      <c r="N113" s="549" t="s">
        <v>993</v>
      </c>
      <c r="O113" s="550" t="s">
        <v>1092</v>
      </c>
      <c r="P113" s="374" t="s">
        <v>1092</v>
      </c>
      <c r="Q113" s="200" t="s">
        <v>1093</v>
      </c>
      <c r="R113" s="201" t="s">
        <v>1094</v>
      </c>
      <c r="S113" s="350" t="s">
        <v>1095</v>
      </c>
      <c r="T113" s="203" t="s">
        <v>1095</v>
      </c>
      <c r="U113" s="204" t="s">
        <v>1096</v>
      </c>
      <c r="V113" s="205" t="s">
        <v>1093</v>
      </c>
      <c r="W113" s="206" t="s">
        <v>1094</v>
      </c>
      <c r="X113" s="207" t="s">
        <v>1097</v>
      </c>
      <c r="Y113" s="208">
        <f>$X$33</f>
        <v>0.49</v>
      </c>
      <c r="Z113" s="207" t="s">
        <v>1098</v>
      </c>
      <c r="AA113" s="209" t="s">
        <v>1099</v>
      </c>
      <c r="AB113" s="209" t="s">
        <v>1100</v>
      </c>
      <c r="AC113" s="210" t="s">
        <v>1092</v>
      </c>
      <c r="AD113" s="211" t="s">
        <v>1101</v>
      </c>
      <c r="AE113" s="212" t="s">
        <v>1102</v>
      </c>
      <c r="AF113" s="208" t="s">
        <v>1103</v>
      </c>
      <c r="AG113" s="1867" t="s">
        <v>1104</v>
      </c>
      <c r="AH113" s="213" t="s">
        <v>1116</v>
      </c>
      <c r="AI113" s="220" t="s">
        <v>1106</v>
      </c>
      <c r="AJ113" s="483" t="s">
        <v>1107</v>
      </c>
      <c r="AK113" s="484" t="s">
        <v>1108</v>
      </c>
      <c r="AL113" s="221" t="s">
        <v>1109</v>
      </c>
      <c r="AM113" s="221" t="s">
        <v>1110</v>
      </c>
      <c r="AN113" s="221" t="s">
        <v>1111</v>
      </c>
      <c r="AO113" s="220" t="s">
        <v>1112</v>
      </c>
      <c r="AP113" s="221" t="s">
        <v>1113</v>
      </c>
    </row>
    <row r="114" spans="1:42" ht="15.75">
      <c r="A114" s="187"/>
      <c r="B114" s="551" t="s">
        <v>567</v>
      </c>
      <c r="C114" s="552" t="s">
        <v>190</v>
      </c>
      <c r="D114" s="553">
        <v>145</v>
      </c>
      <c r="E114" s="552">
        <v>15</v>
      </c>
      <c r="F114" s="553">
        <v>150</v>
      </c>
      <c r="G114" s="554">
        <v>114</v>
      </c>
      <c r="H114" s="352">
        <f>G114*(1+$H$33)</f>
        <v>121.98</v>
      </c>
      <c r="I114" s="226">
        <f>H114-H114*$J$113</f>
        <v>62.209800000000001</v>
      </c>
      <c r="J114" s="555">
        <f>G114-G114*$J$113</f>
        <v>58.14</v>
      </c>
      <c r="K114" s="427">
        <v>131</v>
      </c>
      <c r="L114" s="556">
        <v>133</v>
      </c>
      <c r="M114" s="557">
        <f>L114/D114*100%</f>
        <v>0.91724137931034477</v>
      </c>
      <c r="N114" s="558">
        <f>K114-(K114*$N$33)</f>
        <v>72.05</v>
      </c>
      <c r="O114" s="559">
        <f>((N114/J114)-1)*100%</f>
        <v>0.23925008599931186</v>
      </c>
      <c r="P114" s="233">
        <f>((N114/I114)-1)*100%</f>
        <v>0.15817765046664656</v>
      </c>
      <c r="Q114" s="560">
        <v>1.63</v>
      </c>
      <c r="R114" s="561">
        <f>Q114*$R$33</f>
        <v>76.663789999999992</v>
      </c>
      <c r="S114" s="562">
        <f>((J114-R114)/J114)*100%</f>
        <v>-0.31860663914688669</v>
      </c>
      <c r="T114" s="237">
        <f>((I114-R114)/I114)*100%</f>
        <v>-0.23234265340830529</v>
      </c>
      <c r="U114" s="238">
        <v>1.1379999999999999</v>
      </c>
      <c r="V114" s="239">
        <f>U114*$X$31</f>
        <v>1.3655999999999999</v>
      </c>
      <c r="W114" s="239">
        <f>V114*$R$33</f>
        <v>64.228264800000005</v>
      </c>
      <c r="X114" s="240">
        <f>(ROUND(W114/(1-$AB$112),0))</f>
        <v>71</v>
      </c>
      <c r="Y114" s="239">
        <f>Z114*(1-$X$33)</f>
        <v>68.34</v>
      </c>
      <c r="Z114" s="240">
        <f>ROUND(X114/(1-$X$32),0)</f>
        <v>134</v>
      </c>
      <c r="AA114" s="241">
        <f>((X114-W114)/X114)*100%</f>
        <v>9.5376552112675983E-2</v>
      </c>
      <c r="AB114" s="241">
        <f>((Y114-W114)/Y114)*100%</f>
        <v>6.0165864793678636E-2</v>
      </c>
      <c r="AC114" s="242">
        <f>((N114/Y114)-1)*100%</f>
        <v>5.428738659642951E-2</v>
      </c>
      <c r="AD114" s="243">
        <f>((N114*0.96-W114)/(N114*0.96))*100%</f>
        <v>7.141648160999288E-2</v>
      </c>
      <c r="AE114" s="238">
        <f>N114/$R$33</f>
        <v>1.5319031318435992</v>
      </c>
      <c r="AF114" s="239">
        <f>(V114/(1-$AB$112))</f>
        <v>1.5173333333333332</v>
      </c>
      <c r="AG114" s="1868">
        <v>2.86</v>
      </c>
      <c r="AH114" s="244">
        <f>((AF114-V114)/AF114)*100%</f>
        <v>9.9999999999999964E-2</v>
      </c>
      <c r="AI114" s="77">
        <f>AJ114/$AJ$109</f>
        <v>0.3037720033528919</v>
      </c>
      <c r="AJ114" s="563">
        <f>VLOOKUP($B114,[1]Статистика!$B:$D,3,FALSE)</f>
        <v>3624</v>
      </c>
      <c r="AK114" s="270">
        <f>AJ114*Q114*S114</f>
        <v>-1882.0476502373574</v>
      </c>
      <c r="AL114" s="77">
        <f>AK114/$AK$117</f>
        <v>0.43443821020915041</v>
      </c>
      <c r="AM114" s="77">
        <f>AJ114/$AJ$141</f>
        <v>0.15485855909751303</v>
      </c>
      <c r="AN114" s="77">
        <f>AK114/$AK$141</f>
        <v>0.14484279319920046</v>
      </c>
      <c r="AO114" s="77">
        <f>AJ114/$AJ$23</f>
        <v>1.702989112429706E-3</v>
      </c>
      <c r="AP114" s="77">
        <f>AK114/$AK$23</f>
        <v>1.6234540550437344E-2</v>
      </c>
    </row>
    <row r="115" spans="1:42" ht="16.5" thickBot="1">
      <c r="A115" s="187"/>
      <c r="B115" s="564" t="s">
        <v>568</v>
      </c>
      <c r="C115" s="565" t="s">
        <v>192</v>
      </c>
      <c r="D115" s="566">
        <v>204</v>
      </c>
      <c r="E115" s="565">
        <v>10</v>
      </c>
      <c r="F115" s="566">
        <v>100</v>
      </c>
      <c r="G115" s="566">
        <v>172</v>
      </c>
      <c r="H115" s="567">
        <f>G115*(1+$H$33)</f>
        <v>184.04000000000002</v>
      </c>
      <c r="I115" s="226">
        <f>H115-H115*$J$113</f>
        <v>93.860400000000013</v>
      </c>
      <c r="J115" s="555">
        <f>G115-G115*$J$113</f>
        <v>87.72</v>
      </c>
      <c r="K115" s="340">
        <v>202</v>
      </c>
      <c r="L115" s="568">
        <v>179</v>
      </c>
      <c r="M115" s="569">
        <f>L115/D115*100%</f>
        <v>0.87745098039215685</v>
      </c>
      <c r="N115" s="570">
        <f>K115-(K115*$N$33)</f>
        <v>111.1</v>
      </c>
      <c r="O115" s="571">
        <f>((N115/J115)-1)*100%</f>
        <v>0.26652986776105791</v>
      </c>
      <c r="P115" s="572">
        <f>((N115/I115)-1)*100%</f>
        <v>0.18367277360846512</v>
      </c>
      <c r="Q115" s="573">
        <v>2.34</v>
      </c>
      <c r="R115" s="496">
        <f>Q115*$R$33</f>
        <v>110.05722</v>
      </c>
      <c r="S115" s="559">
        <f>((J115-R115)/J115)*100%</f>
        <v>-0.25464227086183311</v>
      </c>
      <c r="T115" s="260">
        <f>((I115-R115)/I115)*100%</f>
        <v>-0.17256286996432985</v>
      </c>
      <c r="U115" s="261">
        <v>1.659</v>
      </c>
      <c r="V115" s="239">
        <f>U115*$X$31</f>
        <v>1.9907999999999999</v>
      </c>
      <c r="W115" s="262">
        <f>V115*$R$33</f>
        <v>93.633296399999992</v>
      </c>
      <c r="X115" s="240">
        <f>(ROUND(W115/(1-$AB$112),0))</f>
        <v>104</v>
      </c>
      <c r="Y115" s="239">
        <f>Z115*(1-$X$33)</f>
        <v>99.960000000000008</v>
      </c>
      <c r="Z115" s="263">
        <f>ROUND(X115/(1-$X$32),0)</f>
        <v>196</v>
      </c>
      <c r="AA115" s="264">
        <f>((X115-W115)/X115)*100%</f>
        <v>9.967984230769239E-2</v>
      </c>
      <c r="AB115" s="241">
        <f>((Y115-W115)/Y115)*100%</f>
        <v>6.3292352941176633E-2</v>
      </c>
      <c r="AC115" s="242">
        <f>((N115/Y115)-1)*100%</f>
        <v>0.11144457783113237</v>
      </c>
      <c r="AD115" s="266">
        <f>((N115*0.96-W115)/(N115*0.96))*100%</f>
        <v>0.12210005625562557</v>
      </c>
      <c r="AE115" s="261">
        <f>N115/$R$33</f>
        <v>2.3621712414687557</v>
      </c>
      <c r="AF115" s="239">
        <f>(V115/(1-$AB$112))</f>
        <v>2.2119999999999997</v>
      </c>
      <c r="AG115" s="1869">
        <v>4.17</v>
      </c>
      <c r="AH115" s="267">
        <f>((AF115-V115)/AF115)*100%</f>
        <v>9.9999999999999936E-2</v>
      </c>
      <c r="AI115" s="77">
        <f>AJ115/$AJ$109</f>
        <v>0.18524727577535624</v>
      </c>
      <c r="AJ115" s="333">
        <f>VLOOKUP($B115,[1]Статистика!$B:$D,3,FALSE)</f>
        <v>2210</v>
      </c>
      <c r="AK115" s="270">
        <f>AJ115*Q115*S115</f>
        <v>-1316.8570395348836</v>
      </c>
      <c r="AL115" s="77">
        <f>AK115/$AK$117</f>
        <v>0.30397371463188239</v>
      </c>
      <c r="AM115" s="77">
        <f>AJ115/$AJ$141</f>
        <v>9.4436372959576104E-2</v>
      </c>
      <c r="AN115" s="77">
        <f>AK115/$AK$141</f>
        <v>0.10134560186412249</v>
      </c>
      <c r="AO115" s="77">
        <f>AJ115/$AJ$23</f>
        <v>1.038522609952994E-3</v>
      </c>
      <c r="AP115" s="77">
        <f>AK115/$AK$23</f>
        <v>1.135920708743041E-2</v>
      </c>
    </row>
    <row r="116" spans="1:42" ht="15.75" thickBot="1">
      <c r="A116" s="187"/>
      <c r="B116" s="574" t="s">
        <v>569</v>
      </c>
      <c r="C116" s="575" t="s">
        <v>194</v>
      </c>
      <c r="D116" s="576">
        <v>288</v>
      </c>
      <c r="E116" s="575">
        <v>6</v>
      </c>
      <c r="F116" s="576">
        <v>60</v>
      </c>
      <c r="G116" s="576">
        <v>250</v>
      </c>
      <c r="H116" s="577">
        <f>G116*(1+$H$33)</f>
        <v>267.5</v>
      </c>
      <c r="I116" s="226">
        <f>H116-H116*$J$113</f>
        <v>136.42500000000001</v>
      </c>
      <c r="J116" s="555">
        <f>G116-G116*$J$113</f>
        <v>127.5</v>
      </c>
      <c r="K116" s="578"/>
      <c r="L116" s="579"/>
      <c r="M116" s="580"/>
      <c r="N116" s="581"/>
      <c r="O116" s="582"/>
      <c r="P116" s="582">
        <f>AVERAGE(P114:P115)</f>
        <v>0.17092521203755584</v>
      </c>
      <c r="Q116" s="583">
        <v>3.37</v>
      </c>
      <c r="R116" s="408">
        <f>Q116*$R$33</f>
        <v>158.50121000000001</v>
      </c>
      <c r="S116" s="571">
        <f>((J116-R116)/J116)*100%</f>
        <v>-0.24314674509803932</v>
      </c>
      <c r="T116" s="260">
        <f>((I116-R116)/I116)*100%</f>
        <v>-0.16181938794209275</v>
      </c>
      <c r="U116" s="261">
        <v>2.391</v>
      </c>
      <c r="V116" s="239">
        <f>U116*$X$31</f>
        <v>2.8691999999999998</v>
      </c>
      <c r="W116" s="262">
        <f>V116*$R$33</f>
        <v>134.94708359999998</v>
      </c>
      <c r="X116" s="240">
        <f>(ROUND(W116/(1-$AB$112),0))</f>
        <v>150</v>
      </c>
      <c r="Y116" s="239">
        <f>Z116*(1-$X$33)</f>
        <v>144.33000000000001</v>
      </c>
      <c r="Z116" s="263">
        <f>ROUND(X116/(1-$X$32),0)</f>
        <v>283</v>
      </c>
      <c r="AA116" s="264">
        <f>((X116-W116)/X116)*100%</f>
        <v>0.1003527760000001</v>
      </c>
      <c r="AB116" s="241">
        <f>((Y116-W116)/Y116)*100%</f>
        <v>6.5010160049885871E-2</v>
      </c>
      <c r="AC116" s="242"/>
      <c r="AD116" s="266"/>
      <c r="AE116" s="261">
        <f>N116/$R$33</f>
        <v>0</v>
      </c>
      <c r="AF116" s="239">
        <f>(V116/(1-$AB$112))</f>
        <v>3.1879999999999997</v>
      </c>
      <c r="AG116" s="1869">
        <v>6.02</v>
      </c>
      <c r="AH116" s="267">
        <f>((AF116-V116)/AF116)*100%</f>
        <v>0.1</v>
      </c>
      <c r="AI116" s="92">
        <f>AJ116/$AJ$109</f>
        <v>0.11592623637887678</v>
      </c>
      <c r="AJ116" s="338">
        <f>VLOOKUP($B116,[1]Статистика!$B:$D,3,FALSE)</f>
        <v>1383</v>
      </c>
      <c r="AK116" s="297">
        <f>AJ116*Q116*S116</f>
        <v>-1133.2364663458829</v>
      </c>
      <c r="AL116" s="92">
        <f>AK116/$AK$117</f>
        <v>0.2615880751589672</v>
      </c>
      <c r="AM116" s="92">
        <f>AJ116/$AJ$141</f>
        <v>5.9097513033074096E-2</v>
      </c>
      <c r="AN116" s="92">
        <f>AK116/$AK$141</f>
        <v>8.7214122936806873E-2</v>
      </c>
      <c r="AO116" s="77">
        <f>AJ116/$AJ$23</f>
        <v>6.4989899075338937E-4</v>
      </c>
      <c r="AP116" s="77">
        <f>AK116/$AK$23</f>
        <v>9.7752962651112048E-3</v>
      </c>
    </row>
    <row r="117" spans="1:42" ht="15.75" thickBot="1">
      <c r="A117" s="187"/>
      <c r="J117" s="532"/>
      <c r="K117" s="533"/>
      <c r="Q117" s="17"/>
      <c r="S117" s="584"/>
      <c r="T117" s="2310"/>
      <c r="U117" s="2310"/>
      <c r="V117" s="2310"/>
      <c r="W117" s="309"/>
      <c r="X117" s="309"/>
      <c r="Y117" s="309"/>
      <c r="Z117" s="309"/>
      <c r="AA117" s="346"/>
      <c r="AB117" s="421"/>
      <c r="AC117" s="1851"/>
      <c r="AD117" s="585">
        <f>AVERAGE(AD114:AD116)</f>
        <v>9.6758268932809227E-2</v>
      </c>
      <c r="AE117" s="188"/>
      <c r="AF117" s="188"/>
      <c r="AG117" s="1866"/>
      <c r="AH117" s="1851"/>
      <c r="AI117" s="512">
        <f>S115*AI115+S116*AI116</f>
        <v>-7.5358874021394767E-2</v>
      </c>
      <c r="AJ117" s="513">
        <f>SUM(AJ114:AJ116)</f>
        <v>7217</v>
      </c>
      <c r="AK117" s="514">
        <f>SUM(AK114:AK116)</f>
        <v>-4332.1411561181239</v>
      </c>
      <c r="AM117" s="307">
        <f>SUM(AM114:AM116)</f>
        <v>0.30839244509016323</v>
      </c>
      <c r="AN117" s="307">
        <f>SUM(AN114:AN116)</f>
        <v>0.33340251800012982</v>
      </c>
      <c r="AO117" s="308">
        <f>SUM(AO114:AO116)</f>
        <v>3.3914107131360893E-3</v>
      </c>
      <c r="AP117" s="308">
        <f>SUM(AP114:AP116)</f>
        <v>3.736904390297896E-2</v>
      </c>
    </row>
    <row r="118" spans="1:42" ht="15.75">
      <c r="A118" s="530" t="s">
        <v>571</v>
      </c>
      <c r="B118" s="531"/>
      <c r="C118" s="531" t="s">
        <v>1140</v>
      </c>
      <c r="D118" s="540"/>
      <c r="E118" s="540"/>
      <c r="F118" s="540"/>
      <c r="G118" s="2317" t="s">
        <v>1141</v>
      </c>
      <c r="H118" s="2317"/>
      <c r="I118" s="2317"/>
      <c r="J118" s="2317"/>
      <c r="K118" s="2317"/>
      <c r="L118" s="2317"/>
      <c r="M118" s="2317"/>
      <c r="N118" s="2317"/>
      <c r="O118" s="2317"/>
      <c r="P118" s="2317"/>
      <c r="Q118" s="2317"/>
      <c r="R118" s="2317"/>
      <c r="AO118" s="13"/>
      <c r="AP118" s="13"/>
    </row>
    <row r="119" spans="1:42" ht="15.75" thickBot="1">
      <c r="A119" s="586"/>
      <c r="B119" s="540"/>
      <c r="C119" s="540" t="s">
        <v>25</v>
      </c>
      <c r="D119" s="540"/>
      <c r="E119" s="540"/>
      <c r="F119" s="540"/>
      <c r="G119" s="540"/>
      <c r="H119" s="530"/>
      <c r="I119" s="587"/>
      <c r="J119" s="588"/>
      <c r="K119" s="533"/>
      <c r="Q119" s="17"/>
      <c r="T119" s="2310"/>
      <c r="U119" s="2310" t="s">
        <v>1089</v>
      </c>
      <c r="V119" s="2310"/>
      <c r="W119" s="309"/>
      <c r="X119" s="309"/>
      <c r="Y119" s="309"/>
      <c r="Z119" s="309"/>
      <c r="AA119" s="346"/>
      <c r="AB119" s="421">
        <v>0.1</v>
      </c>
      <c r="AC119" s="1851"/>
      <c r="AD119" s="1851"/>
      <c r="AE119" s="188"/>
      <c r="AF119" s="188"/>
      <c r="AG119" s="1866"/>
      <c r="AH119" s="1851"/>
      <c r="AO119" s="13" t="s">
        <v>973</v>
      </c>
      <c r="AP119" s="13"/>
    </row>
    <row r="120" spans="1:42" ht="108.75" thickBot="1">
      <c r="A120" s="586"/>
      <c r="B120" s="589" t="s">
        <v>10</v>
      </c>
      <c r="C120" s="590" t="s">
        <v>11</v>
      </c>
      <c r="D120" s="590" t="s">
        <v>12</v>
      </c>
      <c r="E120" s="590" t="s">
        <v>13</v>
      </c>
      <c r="F120" s="590" t="s">
        <v>14</v>
      </c>
      <c r="G120" s="591" t="s">
        <v>15</v>
      </c>
      <c r="H120" s="592" t="s">
        <v>1090</v>
      </c>
      <c r="I120" s="592">
        <f>$C$5</f>
        <v>0.49</v>
      </c>
      <c r="J120" s="593">
        <f>$C$5</f>
        <v>0.49</v>
      </c>
      <c r="K120" s="533"/>
      <c r="Q120" s="200" t="s">
        <v>1093</v>
      </c>
      <c r="R120" s="201" t="s">
        <v>1094</v>
      </c>
      <c r="S120" s="350" t="s">
        <v>1095</v>
      </c>
      <c r="T120" s="203" t="s">
        <v>1095</v>
      </c>
      <c r="U120" s="204" t="s">
        <v>1096</v>
      </c>
      <c r="V120" s="205" t="s">
        <v>1093</v>
      </c>
      <c r="W120" s="206" t="s">
        <v>1094</v>
      </c>
      <c r="X120" s="207" t="s">
        <v>1097</v>
      </c>
      <c r="Y120" s="208">
        <f>$X$33</f>
        <v>0.49</v>
      </c>
      <c r="Z120" s="207" t="s">
        <v>1098</v>
      </c>
      <c r="AA120" s="209" t="s">
        <v>1099</v>
      </c>
      <c r="AB120" s="209" t="s">
        <v>1100</v>
      </c>
      <c r="AC120" s="210" t="s">
        <v>1092</v>
      </c>
      <c r="AD120" s="211" t="s">
        <v>1101</v>
      </c>
      <c r="AE120" s="212" t="s">
        <v>1102</v>
      </c>
      <c r="AF120" s="208" t="s">
        <v>1103</v>
      </c>
      <c r="AG120" s="1867" t="s">
        <v>1104</v>
      </c>
      <c r="AH120" s="213" t="s">
        <v>1116</v>
      </c>
      <c r="AI120" s="220" t="s">
        <v>1106</v>
      </c>
      <c r="AJ120" s="483" t="s">
        <v>1107</v>
      </c>
      <c r="AK120" s="484" t="s">
        <v>1108</v>
      </c>
      <c r="AL120" s="221" t="s">
        <v>1109</v>
      </c>
      <c r="AM120" s="221" t="s">
        <v>1110</v>
      </c>
      <c r="AN120" s="221" t="s">
        <v>1111</v>
      </c>
      <c r="AO120" s="220" t="s">
        <v>1112</v>
      </c>
      <c r="AP120" s="221" t="s">
        <v>1113</v>
      </c>
    </row>
    <row r="121" spans="1:42">
      <c r="A121" s="586"/>
      <c r="B121" s="594" t="s">
        <v>572</v>
      </c>
      <c r="C121" s="552" t="s">
        <v>190</v>
      </c>
      <c r="D121" s="553">
        <v>152</v>
      </c>
      <c r="E121" s="552">
        <v>15</v>
      </c>
      <c r="F121" s="553">
        <v>150</v>
      </c>
      <c r="G121" s="554">
        <v>118</v>
      </c>
      <c r="H121" s="352">
        <f>G121*(1+$H$33)</f>
        <v>126.26</v>
      </c>
      <c r="I121" s="352">
        <f>H121-H121*$J$113</f>
        <v>64.392600000000002</v>
      </c>
      <c r="J121" s="595">
        <f>G121-G121*$J$120</f>
        <v>60.18</v>
      </c>
      <c r="K121" s="578"/>
      <c r="L121" s="579"/>
      <c r="M121" s="580"/>
      <c r="N121" s="581"/>
      <c r="O121" s="582"/>
      <c r="P121" s="582"/>
      <c r="Q121" s="495">
        <v>1.69</v>
      </c>
      <c r="R121" s="496">
        <f>Q121*$R$33</f>
        <v>79.485770000000002</v>
      </c>
      <c r="S121" s="559">
        <f>((J121-R121)/J121)*100%</f>
        <v>-0.32080043203722169</v>
      </c>
      <c r="T121" s="237">
        <f>((I121-R121)/I121)*100%</f>
        <v>-0.23439292713759036</v>
      </c>
      <c r="U121" s="238">
        <v>1.196</v>
      </c>
      <c r="V121" s="239">
        <f>U121*$X$31</f>
        <v>1.4351999999999998</v>
      </c>
      <c r="W121" s="239">
        <f>V121*$R$33</f>
        <v>67.501761599999995</v>
      </c>
      <c r="X121" s="240">
        <f>(ROUND(W121/(1-$AB$119),0))</f>
        <v>75</v>
      </c>
      <c r="Y121" s="239">
        <f>Z121*(1-$X$33)</f>
        <v>72.42</v>
      </c>
      <c r="Z121" s="240">
        <f>ROUND(X121/(1-$X$32),0)</f>
        <v>142</v>
      </c>
      <c r="AA121" s="241">
        <f>((X121-W121)/X121)*100%</f>
        <v>9.9976512000000073E-2</v>
      </c>
      <c r="AB121" s="241">
        <f>((Y121-W121)/Y121)*100%</f>
        <v>6.7912709196354698E-2</v>
      </c>
      <c r="AC121" s="242"/>
      <c r="AD121" s="243"/>
      <c r="AE121" s="238">
        <f>N121/$R$33</f>
        <v>0</v>
      </c>
      <c r="AF121" s="239">
        <f>(V121/(1-$AB$119))</f>
        <v>1.5946666666666665</v>
      </c>
      <c r="AG121" s="1868">
        <f>AF121/(1-$X$32)</f>
        <v>3.0088050314465402</v>
      </c>
      <c r="AH121" s="244">
        <f>((AF121-V121)/AF121)*100%</f>
        <v>0.1</v>
      </c>
      <c r="AI121" s="77">
        <f>AJ121/$AJ$109</f>
        <v>0.15205364626990781</v>
      </c>
      <c r="AJ121" s="563">
        <f>VLOOKUP($B121,[1]Статистика!$B:$D,3,FALSE)</f>
        <v>1814</v>
      </c>
      <c r="AK121" s="270">
        <f>AJ121*Q121*S121</f>
        <v>-983.46505247922903</v>
      </c>
      <c r="AL121" s="77">
        <f>AK121/$AK$124</f>
        <v>0.56880101873046496</v>
      </c>
      <c r="AM121" s="77">
        <f>AJ121/$AJ$141</f>
        <v>7.7514742329715405E-2</v>
      </c>
      <c r="AN121" s="77">
        <f>AK121/$AK$141</f>
        <v>7.5687682613628168E-2</v>
      </c>
      <c r="AO121" s="77">
        <f>AJ121/$AJ$23</f>
        <v>8.524343956808737E-4</v>
      </c>
      <c r="AP121" s="77">
        <f>AK121/$AK$23</f>
        <v>8.4833682464938876E-3</v>
      </c>
    </row>
    <row r="122" spans="1:42">
      <c r="A122" s="586"/>
      <c r="B122" s="564" t="s">
        <v>573</v>
      </c>
      <c r="C122" s="565" t="s">
        <v>192</v>
      </c>
      <c r="D122" s="566">
        <v>218</v>
      </c>
      <c r="E122" s="565">
        <v>10</v>
      </c>
      <c r="F122" s="566">
        <v>100</v>
      </c>
      <c r="G122" s="566">
        <v>184</v>
      </c>
      <c r="H122" s="567">
        <f>G122*(1+$H$33)</f>
        <v>196.88000000000002</v>
      </c>
      <c r="I122" s="567">
        <f>H122-H122*$J$113</f>
        <v>100.40880000000001</v>
      </c>
      <c r="J122" s="596">
        <f>G122-G122*$J$120</f>
        <v>93.84</v>
      </c>
      <c r="K122" s="578"/>
      <c r="L122" s="579"/>
      <c r="M122" s="580"/>
      <c r="N122" s="581"/>
      <c r="O122" s="582"/>
      <c r="P122" s="582"/>
      <c r="Q122" s="597">
        <v>2.46</v>
      </c>
      <c r="R122" s="496">
        <f>Q122*$R$33</f>
        <v>115.70118000000001</v>
      </c>
      <c r="S122" s="598">
        <f>((J122-R122)/J122)*100%</f>
        <v>-0.23296227621483379</v>
      </c>
      <c r="T122" s="260">
        <f>((I122-R122)/I122)*100%</f>
        <v>-0.15230119272414364</v>
      </c>
      <c r="U122" s="261">
        <v>1.7390000000000001</v>
      </c>
      <c r="V122" s="239">
        <f>U122*$X$31</f>
        <v>2.0868000000000002</v>
      </c>
      <c r="W122" s="262">
        <f>V122*$R$33</f>
        <v>98.148464400000009</v>
      </c>
      <c r="X122" s="240">
        <f>(ROUND(W122/(1-$AB$119),0))</f>
        <v>109</v>
      </c>
      <c r="Y122" s="239">
        <f>Z122*(1-$X$33)</f>
        <v>105.06</v>
      </c>
      <c r="Z122" s="263">
        <f>ROUND(X122/(1-$X$32),0)</f>
        <v>206</v>
      </c>
      <c r="AA122" s="264">
        <f>((X122-W122)/X122)*100%</f>
        <v>9.9555372477064141E-2</v>
      </c>
      <c r="AB122" s="241">
        <f>((Y122-W122)/Y122)*100%</f>
        <v>6.5786556253569328E-2</v>
      </c>
      <c r="AC122" s="242"/>
      <c r="AD122" s="266"/>
      <c r="AE122" s="261">
        <f>N122/$R$33</f>
        <v>0</v>
      </c>
      <c r="AF122" s="239">
        <f>(V122/(1-$AB$119))</f>
        <v>2.3186666666666667</v>
      </c>
      <c r="AG122" s="1869">
        <v>4.38</v>
      </c>
      <c r="AH122" s="267">
        <f>((AF122-V122)/AF122)*100%</f>
        <v>9.9999999999999908E-2</v>
      </c>
      <c r="AI122" s="92">
        <f>AJ122/$AJ$109</f>
        <v>6.119027661357921E-2</v>
      </c>
      <c r="AJ122" s="338">
        <f>VLOOKUP($B122,[1]Статистика!$B:$D,3,FALSE)</f>
        <v>730</v>
      </c>
      <c r="AK122" s="297">
        <f>AJ122*Q122*S122</f>
        <v>-418.35365562659848</v>
      </c>
      <c r="AL122" s="92">
        <f>AK122/$AK$124</f>
        <v>0.2419607945499915</v>
      </c>
      <c r="AM122" s="92">
        <f>AJ122/$AJ$141</f>
        <v>3.1193915049995725E-2</v>
      </c>
      <c r="AN122" s="92">
        <f>AK122/$AK$141</f>
        <v>3.2196587593523909E-2</v>
      </c>
      <c r="AO122" s="77">
        <f>AJ122/$AJ$23</f>
        <v>3.4304140509759526E-4</v>
      </c>
      <c r="AP122" s="77">
        <f>AK122/$AK$23</f>
        <v>3.6087180820513001E-3</v>
      </c>
    </row>
    <row r="123" spans="1:42" ht="15.75" thickBot="1">
      <c r="A123" s="599"/>
      <c r="B123" s="574" t="s">
        <v>574</v>
      </c>
      <c r="C123" s="575" t="s">
        <v>194</v>
      </c>
      <c r="D123" s="576">
        <v>305</v>
      </c>
      <c r="E123" s="575">
        <v>6</v>
      </c>
      <c r="F123" s="576">
        <v>60</v>
      </c>
      <c r="G123" s="576">
        <v>260</v>
      </c>
      <c r="H123" s="577">
        <f>G123*(1+$H$33)</f>
        <v>278.2</v>
      </c>
      <c r="I123" s="577">
        <f>H123-H123*$J$113</f>
        <v>141.88200000000001</v>
      </c>
      <c r="J123" s="600">
        <f>G123-G123*$J$120</f>
        <v>132.60000000000002</v>
      </c>
      <c r="K123" s="578"/>
      <c r="L123" s="579"/>
      <c r="M123" s="580"/>
      <c r="N123" s="581"/>
      <c r="O123" s="582"/>
      <c r="P123" s="582"/>
      <c r="Q123" s="410">
        <v>3.52</v>
      </c>
      <c r="R123" s="408">
        <f>Q123*$R$33</f>
        <v>165.55616000000001</v>
      </c>
      <c r="S123" s="571">
        <f>((J123-R123)/J123)*100%</f>
        <v>-0.24853815987933617</v>
      </c>
      <c r="T123" s="260">
        <f>((I123-R123)/I123)*100%</f>
        <v>-0.16685809334517415</v>
      </c>
      <c r="U123" s="261">
        <v>2.4929999999999999</v>
      </c>
      <c r="V123" s="239">
        <f>U123*$X$31</f>
        <v>2.9915999999999996</v>
      </c>
      <c r="W123" s="262">
        <f>V123*$R$33</f>
        <v>140.70392279999999</v>
      </c>
      <c r="X123" s="240">
        <f>(ROUND(W123/(1-$AB$119),0))</f>
        <v>156</v>
      </c>
      <c r="Y123" s="239">
        <f>Z123*(1-$X$33)</f>
        <v>149.94</v>
      </c>
      <c r="Z123" s="263">
        <f>ROUND(X123/(1-$X$32),0)</f>
        <v>294</v>
      </c>
      <c r="AA123" s="264">
        <f>((X123-W123)/X123)*100%</f>
        <v>9.8051776923077011E-2</v>
      </c>
      <c r="AB123" s="241">
        <f>((Y123-W123)/Y123)*100%</f>
        <v>6.159848739495806E-2</v>
      </c>
      <c r="AC123" s="242"/>
      <c r="AD123" s="266"/>
      <c r="AE123" s="261">
        <f>N123/$R$33</f>
        <v>0</v>
      </c>
      <c r="AF123" s="239">
        <f>(V123/(1-$AB$119))</f>
        <v>3.3239999999999994</v>
      </c>
      <c r="AG123" s="1869">
        <v>6.27</v>
      </c>
      <c r="AH123" s="267">
        <f>((AF123-V123)/AF123)*100%</f>
        <v>9.9999999999999964E-2</v>
      </c>
      <c r="AI123" s="77">
        <f>AJ123/$AJ$109</f>
        <v>3.1349538977367981E-2</v>
      </c>
      <c r="AJ123" s="333">
        <f>VLOOKUP($B123,[1]Статистика!$B:$D,3,FALSE)</f>
        <v>374</v>
      </c>
      <c r="AK123" s="270">
        <f>AJ123*Q123*S123</f>
        <v>-327.19551671794846</v>
      </c>
      <c r="AL123" s="77">
        <f>AK123/$AK$124</f>
        <v>0.18923818671954348</v>
      </c>
      <c r="AM123" s="77">
        <f>AJ123/$AJ$141</f>
        <v>1.5981540039312878E-2</v>
      </c>
      <c r="AN123" s="77">
        <f>AK123/$AK$141</f>
        <v>2.5181037556464864E-2</v>
      </c>
      <c r="AO123" s="77">
        <f>AJ123/$AJ$23</f>
        <v>1.7574998014589129E-4</v>
      </c>
      <c r="AP123" s="77">
        <f>AK123/$AK$23</f>
        <v>2.8223880959703219E-3</v>
      </c>
    </row>
    <row r="124" spans="1:42" ht="15.75" thickBot="1">
      <c r="A124" s="586"/>
      <c r="B124" s="540"/>
      <c r="C124" s="540"/>
      <c r="D124" s="540"/>
      <c r="E124" s="540"/>
      <c r="F124" s="540"/>
      <c r="G124" s="540"/>
      <c r="H124" s="530"/>
      <c r="I124" s="587"/>
      <c r="J124" s="588"/>
      <c r="K124" s="533"/>
      <c r="Q124" s="17"/>
      <c r="S124" s="584"/>
      <c r="T124" s="2310"/>
      <c r="U124" s="2310"/>
      <c r="V124" s="2310"/>
      <c r="W124" s="309"/>
      <c r="X124" s="309"/>
      <c r="Y124" s="309"/>
      <c r="Z124" s="309"/>
      <c r="AA124" s="346"/>
      <c r="AB124" s="421"/>
      <c r="AC124" s="1851"/>
      <c r="AD124" s="1851"/>
      <c r="AE124" s="188"/>
      <c r="AF124" s="188"/>
      <c r="AG124" s="1866"/>
      <c r="AH124" s="1851"/>
      <c r="AI124" s="512">
        <f>S122*AI122+S123*AI123</f>
        <v>-2.2046582852615286E-2</v>
      </c>
      <c r="AJ124" s="513">
        <f>SUM(AJ121:AJ123)</f>
        <v>2918</v>
      </c>
      <c r="AK124" s="514">
        <f>SUM(AK121:AK123)</f>
        <v>-1729.014224823776</v>
      </c>
      <c r="AM124" s="307">
        <f>SUM(AM121:AM123)</f>
        <v>0.12469019741902401</v>
      </c>
      <c r="AN124" s="307">
        <f>SUM(AN121:AN123)</f>
        <v>0.13306530776361694</v>
      </c>
      <c r="AO124" s="308">
        <f>SUM(AO121:AO123)</f>
        <v>1.3712257809243603E-3</v>
      </c>
      <c r="AP124" s="308">
        <f>SUM(AP121:AP123)</f>
        <v>1.491447442451551E-2</v>
      </c>
    </row>
    <row r="125" spans="1:42">
      <c r="A125" s="530" t="s">
        <v>575</v>
      </c>
      <c r="B125" s="531"/>
      <c r="C125" s="531" t="s">
        <v>576</v>
      </c>
      <c r="D125" s="540"/>
      <c r="E125" s="540"/>
      <c r="F125" s="540"/>
      <c r="G125" s="540"/>
      <c r="H125" s="530"/>
      <c r="I125" s="587"/>
      <c r="J125" s="588"/>
      <c r="K125" s="533"/>
      <c r="Q125" s="17"/>
      <c r="AN125" s="306"/>
      <c r="AO125" s="13"/>
      <c r="AP125" s="13"/>
    </row>
    <row r="126" spans="1:42" ht="15.75" thickBot="1">
      <c r="A126" s="586"/>
      <c r="B126" s="540"/>
      <c r="C126" s="540" t="s">
        <v>31</v>
      </c>
      <c r="D126" s="540"/>
      <c r="E126" s="540"/>
      <c r="F126" s="540"/>
      <c r="G126" s="540"/>
      <c r="H126" s="530"/>
      <c r="I126" s="587"/>
      <c r="J126" s="588"/>
      <c r="K126" s="2309" t="s">
        <v>1142</v>
      </c>
      <c r="L126" s="2309"/>
      <c r="M126" s="2309"/>
      <c r="N126" s="2309"/>
      <c r="O126" s="2309"/>
      <c r="P126" s="1852"/>
      <c r="Q126" s="17"/>
      <c r="T126" s="2310"/>
      <c r="U126" s="2310" t="s">
        <v>1089</v>
      </c>
      <c r="V126" s="2310"/>
      <c r="W126" s="309"/>
      <c r="X126" s="309"/>
      <c r="Y126" s="309"/>
      <c r="Z126" s="309"/>
      <c r="AA126" s="346">
        <v>0.05</v>
      </c>
      <c r="AB126" s="421">
        <v>0.1</v>
      </c>
      <c r="AC126" s="1851"/>
      <c r="AD126" s="1851"/>
      <c r="AE126" s="188"/>
      <c r="AF126" s="188"/>
      <c r="AG126" s="1866"/>
      <c r="AH126" s="1851"/>
      <c r="AO126" s="13"/>
      <c r="AP126" s="13"/>
    </row>
    <row r="127" spans="1:42" ht="108.75" thickBot="1">
      <c r="A127" s="586"/>
      <c r="B127" s="589" t="s">
        <v>10</v>
      </c>
      <c r="C127" s="590" t="s">
        <v>11</v>
      </c>
      <c r="D127" s="590" t="s">
        <v>12</v>
      </c>
      <c r="E127" s="590" t="s">
        <v>13</v>
      </c>
      <c r="F127" s="590" t="s">
        <v>14</v>
      </c>
      <c r="G127" s="591" t="s">
        <v>15</v>
      </c>
      <c r="H127" s="592" t="s">
        <v>1090</v>
      </c>
      <c r="I127" s="592">
        <f>$C$5</f>
        <v>0.49</v>
      </c>
      <c r="J127" s="547">
        <f>$C$5</f>
        <v>0.49</v>
      </c>
      <c r="K127" s="601" t="s">
        <v>15</v>
      </c>
      <c r="L127" s="423" t="s">
        <v>12</v>
      </c>
      <c r="M127" s="196" t="s">
        <v>1091</v>
      </c>
      <c r="N127" s="549" t="s">
        <v>993</v>
      </c>
      <c r="O127" s="317" t="s">
        <v>1092</v>
      </c>
      <c r="P127" s="602" t="s">
        <v>1092</v>
      </c>
      <c r="Q127" s="200" t="s">
        <v>1093</v>
      </c>
      <c r="R127" s="201" t="s">
        <v>1094</v>
      </c>
      <c r="S127" s="350" t="s">
        <v>1095</v>
      </c>
      <c r="T127" s="203" t="s">
        <v>1095</v>
      </c>
      <c r="U127" s="204" t="s">
        <v>1096</v>
      </c>
      <c r="V127" s="205" t="s">
        <v>1093</v>
      </c>
      <c r="W127" s="206" t="s">
        <v>1094</v>
      </c>
      <c r="X127" s="207" t="s">
        <v>1097</v>
      </c>
      <c r="Y127" s="208">
        <f>$X$33</f>
        <v>0.49</v>
      </c>
      <c r="Z127" s="207" t="s">
        <v>1098</v>
      </c>
      <c r="AA127" s="209" t="s">
        <v>1099</v>
      </c>
      <c r="AB127" s="209" t="s">
        <v>1100</v>
      </c>
      <c r="AC127" s="210" t="s">
        <v>1092</v>
      </c>
      <c r="AD127" s="211" t="s">
        <v>1101</v>
      </c>
      <c r="AE127" s="212" t="s">
        <v>1102</v>
      </c>
      <c r="AF127" s="208" t="s">
        <v>1103</v>
      </c>
      <c r="AG127" s="1867" t="s">
        <v>1104</v>
      </c>
      <c r="AH127" s="213" t="s">
        <v>1116</v>
      </c>
      <c r="AI127" s="220" t="s">
        <v>1106</v>
      </c>
      <c r="AJ127" s="483" t="s">
        <v>1107</v>
      </c>
      <c r="AK127" s="484" t="s">
        <v>1108</v>
      </c>
      <c r="AL127" s="221" t="s">
        <v>1109</v>
      </c>
      <c r="AM127" s="221" t="s">
        <v>1110</v>
      </c>
      <c r="AN127" s="221" t="s">
        <v>1111</v>
      </c>
      <c r="AO127" s="220" t="s">
        <v>1112</v>
      </c>
      <c r="AP127" s="221" t="s">
        <v>1113</v>
      </c>
    </row>
    <row r="128" spans="1:42" ht="15.75">
      <c r="A128" s="586"/>
      <c r="B128" s="594" t="s">
        <v>577</v>
      </c>
      <c r="C128" s="552" t="s">
        <v>190</v>
      </c>
      <c r="D128" s="553">
        <v>120</v>
      </c>
      <c r="E128" s="552">
        <v>15</v>
      </c>
      <c r="F128" s="553">
        <v>150</v>
      </c>
      <c r="G128" s="554">
        <v>114</v>
      </c>
      <c r="H128" s="352">
        <f>G128*(1+$H$33)</f>
        <v>121.98</v>
      </c>
      <c r="I128" s="352">
        <f>H128-H128*$J$113</f>
        <v>62.209800000000001</v>
      </c>
      <c r="J128" s="595">
        <f>G128-G128*$J$127</f>
        <v>58.14</v>
      </c>
      <c r="K128" s="427">
        <v>112</v>
      </c>
      <c r="L128" s="603">
        <v>97</v>
      </c>
      <c r="M128" s="604">
        <f>L128/D128*100%</f>
        <v>0.80833333333333335</v>
      </c>
      <c r="N128" s="496">
        <f>K128-(K128*$N$33)</f>
        <v>61.6</v>
      </c>
      <c r="O128" s="559">
        <f>((N128/J128)-1)*100%</f>
        <v>5.9511523907808783E-2</v>
      </c>
      <c r="P128" s="233">
        <f>((N128/I128)-1)*100%</f>
        <v>-9.8023141048516615E-3</v>
      </c>
      <c r="Q128" s="560">
        <v>1.59</v>
      </c>
      <c r="R128" s="561">
        <f>Q128*$R$33</f>
        <v>74.782470000000004</v>
      </c>
      <c r="S128" s="562">
        <f>((J128-R128)/J128)*100%</f>
        <v>-0.28624819401444795</v>
      </c>
      <c r="T128" s="237">
        <f>((I128-R128)/I128)*100%</f>
        <v>-0.20210111590135318</v>
      </c>
      <c r="U128" s="238">
        <v>1.123</v>
      </c>
      <c r="V128" s="239">
        <f>U128*$X$31</f>
        <v>1.3475999999999999</v>
      </c>
      <c r="W128" s="239">
        <f>V128*$R$33</f>
        <v>63.381670799999995</v>
      </c>
      <c r="X128" s="240">
        <f>(ROUND(W128/(1-$AA$126),0))</f>
        <v>67</v>
      </c>
      <c r="Y128" s="239">
        <f>Z128*(1-$X$33)</f>
        <v>64.260000000000005</v>
      </c>
      <c r="Z128" s="240">
        <f>ROUND(X128/(1-$X$32),0)</f>
        <v>126</v>
      </c>
      <c r="AA128" s="241">
        <f>((X128-W128)/X128)*100%</f>
        <v>5.4004913432835901E-2</v>
      </c>
      <c r="AB128" s="241">
        <f>((Y128-W128)/Y128)*100%</f>
        <v>1.3668366013072053E-2</v>
      </c>
      <c r="AC128" s="265">
        <f>((N128/Y128)-1)*100%</f>
        <v>-4.1394335511982572E-2</v>
      </c>
      <c r="AD128" s="243">
        <f>((N128*0.96-W128)/(N128*0.96))*100%</f>
        <v>-7.1795028409090897E-2</v>
      </c>
      <c r="AE128" s="238">
        <f>N128/$R$33</f>
        <v>1.3097187081410924</v>
      </c>
      <c r="AF128" s="239">
        <f>(V128/(1-$AA$126))</f>
        <v>1.4185263157894736</v>
      </c>
      <c r="AG128" s="1868">
        <v>2.68</v>
      </c>
      <c r="AH128" s="244">
        <f>((AF128-V128)/AF128)*100%</f>
        <v>5.0000000000000031E-2</v>
      </c>
      <c r="AI128" s="77">
        <f>AJ128/$AJ$109</f>
        <v>0.35917854149203687</v>
      </c>
      <c r="AJ128" s="563">
        <f>VLOOKUP($B128,[1]Статистика!$B:$D,3,FALSE)</f>
        <v>4285</v>
      </c>
      <c r="AK128" s="270">
        <f>AJ128*Q128*S128</f>
        <v>-1950.2518830495362</v>
      </c>
      <c r="AL128" s="77">
        <f>AK128/$AK$131</f>
        <v>0.51701839601081578</v>
      </c>
      <c r="AM128" s="77">
        <f>AJ128/$AJ$141</f>
        <v>0.18310400820442696</v>
      </c>
      <c r="AN128" s="77">
        <f>AK128/$AK$141</f>
        <v>0.1500918056709509</v>
      </c>
      <c r="AO128" s="77">
        <f>AJ128/$AJ$23</f>
        <v>2.0136060559495833E-3</v>
      </c>
      <c r="AP128" s="77">
        <f>AK128/$AK$23</f>
        <v>1.6822870172783059E-2</v>
      </c>
    </row>
    <row r="129" spans="1:42" ht="16.5" thickBot="1">
      <c r="A129" s="586"/>
      <c r="B129" s="564" t="s">
        <v>578</v>
      </c>
      <c r="C129" s="565" t="s">
        <v>192</v>
      </c>
      <c r="D129" s="566">
        <v>176</v>
      </c>
      <c r="E129" s="565">
        <v>10</v>
      </c>
      <c r="F129" s="566">
        <v>100</v>
      </c>
      <c r="G129" s="566">
        <v>172</v>
      </c>
      <c r="H129" s="567">
        <f>G129*(1+$H$33)</f>
        <v>184.04000000000002</v>
      </c>
      <c r="I129" s="567">
        <f>H129-H129*$J$113</f>
        <v>93.860400000000013</v>
      </c>
      <c r="J129" s="596">
        <f>G129-G129*$J$127</f>
        <v>87.72</v>
      </c>
      <c r="K129" s="340">
        <v>192</v>
      </c>
      <c r="L129" s="568">
        <v>164</v>
      </c>
      <c r="M129" s="569">
        <f>L129/D129*100%</f>
        <v>0.93181818181818177</v>
      </c>
      <c r="N129" s="408">
        <f>K129-(K129*$N$33)</f>
        <v>105.6</v>
      </c>
      <c r="O129" s="571">
        <f>((N129/J129)-1)*100%</f>
        <v>0.20383036935704513</v>
      </c>
      <c r="P129" s="572">
        <f>((N129/I129)-1)*100%</f>
        <v>0.12507511154864015</v>
      </c>
      <c r="Q129" s="573">
        <v>2.2999999999999998</v>
      </c>
      <c r="R129" s="496">
        <f>Q129*$R$33</f>
        <v>108.1759</v>
      </c>
      <c r="S129" s="598">
        <f>((J129-R129)/J129)*100%</f>
        <v>-0.23319539443684451</v>
      </c>
      <c r="T129" s="260">
        <f>((I129-R129)/I129)*100%</f>
        <v>-0.15251906022134984</v>
      </c>
      <c r="U129" s="261">
        <v>1.63</v>
      </c>
      <c r="V129" s="239">
        <f>U129*$X$31</f>
        <v>1.9559999999999997</v>
      </c>
      <c r="W129" s="262">
        <f>V129*$R$33</f>
        <v>91.99654799999999</v>
      </c>
      <c r="X129" s="240">
        <f>(ROUND(W129/(1-$AB$126),0))</f>
        <v>102</v>
      </c>
      <c r="Y129" s="239">
        <f>Z129*(1-$X$33)</f>
        <v>97.92</v>
      </c>
      <c r="Z129" s="263">
        <f>ROUND(X129/(1-$X$32),0)</f>
        <v>192</v>
      </c>
      <c r="AA129" s="264">
        <f>((X129-W129)/X129)*100%</f>
        <v>9.8073058823529513E-2</v>
      </c>
      <c r="AB129" s="241">
        <f>((Y129-W129)/Y129)*100%</f>
        <v>6.0492769607843257E-2</v>
      </c>
      <c r="AC129" s="242">
        <f>((N129/Y129)-1)*100%</f>
        <v>7.8431372549019551E-2</v>
      </c>
      <c r="AD129" s="266">
        <f>((N129*0.96-W129)/(N129*0.96))*100%</f>
        <v>9.2521425189393949E-2</v>
      </c>
      <c r="AE129" s="261">
        <f>N129/$R$33</f>
        <v>2.2452320710990152</v>
      </c>
      <c r="AF129" s="239">
        <f>(V129/(1-$AB$126))</f>
        <v>2.1733333333333329</v>
      </c>
      <c r="AG129" s="1869">
        <v>4.0999999999999996</v>
      </c>
      <c r="AH129" s="267">
        <f>((AF129-V129)/AF129)*100%</f>
        <v>9.9999999999999936E-2</v>
      </c>
      <c r="AI129" s="92">
        <f>AJ129/$AJ$109</f>
        <v>0.14635373009220454</v>
      </c>
      <c r="AJ129" s="338">
        <f>VLOOKUP($B129,[1]Статистика!$B:$D,3,FALSE)</f>
        <v>1746</v>
      </c>
      <c r="AK129" s="297">
        <f>AJ129*Q129*S129</f>
        <v>-936.46606497948005</v>
      </c>
      <c r="AL129" s="92">
        <f>AK129/$AK$131</f>
        <v>0.24826033346891185</v>
      </c>
      <c r="AM129" s="92">
        <f>AJ129/$AJ$141</f>
        <v>7.4609007777113073E-2</v>
      </c>
      <c r="AN129" s="92">
        <f>AK129/$AK$141</f>
        <v>7.2070630395986698E-2</v>
      </c>
      <c r="AO129" s="77">
        <f>AJ129/$AJ$23</f>
        <v>8.204798538361662E-4</v>
      </c>
      <c r="AP129" s="77">
        <f>AK129/$AK$23</f>
        <v>8.0779550422650018E-3</v>
      </c>
    </row>
    <row r="130" spans="1:42" ht="15.75" thickBot="1">
      <c r="A130" s="599"/>
      <c r="B130" s="574" t="s">
        <v>579</v>
      </c>
      <c r="C130" s="575" t="s">
        <v>194</v>
      </c>
      <c r="D130" s="576">
        <v>253</v>
      </c>
      <c r="E130" s="575">
        <v>6</v>
      </c>
      <c r="F130" s="576">
        <v>60</v>
      </c>
      <c r="G130" s="576">
        <v>250</v>
      </c>
      <c r="H130" s="577">
        <f>G130*(1+$H$33)</f>
        <v>267.5</v>
      </c>
      <c r="I130" s="577">
        <f>H130-H130*$J$113</f>
        <v>136.42500000000001</v>
      </c>
      <c r="J130" s="600">
        <f>G130-G130*$J$127</f>
        <v>127.5</v>
      </c>
      <c r="K130" s="578"/>
      <c r="L130" s="579"/>
      <c r="M130" s="580"/>
      <c r="N130" s="581"/>
      <c r="O130" s="582"/>
      <c r="P130" s="582">
        <f>AVERAGE(P128:P129)</f>
        <v>5.7636398721894244E-2</v>
      </c>
      <c r="Q130" s="583">
        <v>3.35</v>
      </c>
      <c r="R130" s="408">
        <f>Q130*$R$33</f>
        <v>157.56055000000001</v>
      </c>
      <c r="S130" s="411">
        <f>((J130-R130)/J130)*100%</f>
        <v>-0.23576901960784319</v>
      </c>
      <c r="T130" s="260">
        <f>((I130-R130)/I130)*100%</f>
        <v>-0.15492431739050755</v>
      </c>
      <c r="U130" s="261">
        <v>2.3769999999999998</v>
      </c>
      <c r="V130" s="239">
        <f>U130*$X$31</f>
        <v>2.8523999999999998</v>
      </c>
      <c r="W130" s="262">
        <f>V130*$R$33</f>
        <v>134.15692920000001</v>
      </c>
      <c r="X130" s="240">
        <f>(ROUND(W130/(1-$AB$126),0))</f>
        <v>149</v>
      </c>
      <c r="Y130" s="239">
        <f>Z130*(1-$X$33)</f>
        <v>143.31</v>
      </c>
      <c r="Z130" s="263">
        <f>ROUND(X130/(1-$X$32),0)</f>
        <v>281</v>
      </c>
      <c r="AA130" s="264">
        <f>((X130-W130)/X130)*100%</f>
        <v>9.961792483221471E-2</v>
      </c>
      <c r="AB130" s="241">
        <f>((Y130-W130)/Y130)*100%</f>
        <v>6.3869030772451291E-2</v>
      </c>
      <c r="AC130" s="242"/>
      <c r="AD130" s="266"/>
      <c r="AE130" s="261">
        <f>N130/$R$33</f>
        <v>0</v>
      </c>
      <c r="AF130" s="239">
        <f>(V130/(1-$AB$126))</f>
        <v>3.1693333333333329</v>
      </c>
      <c r="AG130" s="1869">
        <f>AF130/(1-$X$32)</f>
        <v>5.9798742138364771</v>
      </c>
      <c r="AH130" s="267">
        <f>((AF130-V130)/AF130)*100%</f>
        <v>9.9999999999999936E-2</v>
      </c>
      <c r="AI130" s="77">
        <f>AJ130/$AJ$109</f>
        <v>9.3964794635373008E-2</v>
      </c>
      <c r="AJ130" s="333">
        <f>VLOOKUP($B130,[1]Статистика!$B:$D,3,FALSE)</f>
        <v>1121</v>
      </c>
      <c r="AK130" s="270">
        <f>AJ130*Q130*S130</f>
        <v>-885.39518778431386</v>
      </c>
      <c r="AL130" s="77">
        <f>AK130/$AK$131</f>
        <v>0.23472127052027247</v>
      </c>
      <c r="AM130" s="77">
        <f>AJ130/$AJ$141</f>
        <v>4.7901888727459194E-2</v>
      </c>
      <c r="AN130" s="77">
        <f>AK130/$AK$141</f>
        <v>6.8140204668907842E-2</v>
      </c>
      <c r="AO130" s="77">
        <f>AJ130/$AJ$23</f>
        <v>5.2678002070466348E-4</v>
      </c>
      <c r="AP130" s="77">
        <f>AK130/$AK$23</f>
        <v>7.6374177228901354E-3</v>
      </c>
    </row>
    <row r="131" spans="1:42" ht="15.75" thickBot="1">
      <c r="A131" s="586"/>
      <c r="B131" s="540"/>
      <c r="C131" s="540"/>
      <c r="D131" s="540"/>
      <c r="E131" s="540"/>
      <c r="F131" s="540"/>
      <c r="G131" s="540"/>
      <c r="H131" s="530"/>
      <c r="I131" s="587"/>
      <c r="J131" s="588"/>
      <c r="K131" s="533"/>
      <c r="Q131" s="17"/>
      <c r="S131" s="584"/>
      <c r="T131" s="2310"/>
      <c r="U131" s="2310"/>
      <c r="V131" s="2310"/>
      <c r="W131" s="309"/>
      <c r="X131" s="309"/>
      <c r="Y131" s="309"/>
      <c r="Z131" s="309"/>
      <c r="AA131" s="346"/>
      <c r="AB131" s="421"/>
      <c r="AC131" s="1851"/>
      <c r="AD131" s="585">
        <f>AVERAGE(AD128:AD130)</f>
        <v>1.0363198390151526E-2</v>
      </c>
      <c r="AE131" s="188"/>
      <c r="AF131" s="188"/>
      <c r="AG131" s="1866"/>
      <c r="AH131" s="1851"/>
      <c r="AI131" s="512">
        <f>S129*AI129+S130*AI130</f>
        <v>-5.6283003324989332E-2</v>
      </c>
      <c r="AJ131" s="513">
        <f>SUM(AJ128:AJ130)</f>
        <v>7152</v>
      </c>
      <c r="AK131" s="514">
        <f>SUM(AK128:AK130)</f>
        <v>-3772.1131358133298</v>
      </c>
      <c r="AM131" s="307">
        <f>SUM(AM128:AM130)</f>
        <v>0.30561490470899927</v>
      </c>
      <c r="AN131" s="307">
        <f>SUM(AN128:AN130)</f>
        <v>0.29030264073584544</v>
      </c>
      <c r="AO131" s="308">
        <f>SUM(AO128:AO130)</f>
        <v>3.3608659304904128E-3</v>
      </c>
      <c r="AP131" s="308">
        <f>SUM(AP128:AP130)</f>
        <v>3.2538242937938194E-2</v>
      </c>
    </row>
    <row r="132" spans="1:42">
      <c r="A132" s="530" t="s">
        <v>580</v>
      </c>
      <c r="B132" s="531"/>
      <c r="C132" s="531" t="s">
        <v>576</v>
      </c>
      <c r="D132" s="540"/>
      <c r="E132" s="540"/>
      <c r="F132" s="540"/>
      <c r="G132" s="540"/>
      <c r="H132" s="530"/>
      <c r="I132" s="587"/>
      <c r="J132" s="588"/>
      <c r="K132" s="533"/>
      <c r="Q132" s="17"/>
      <c r="AO132" s="13"/>
      <c r="AP132" s="13"/>
    </row>
    <row r="133" spans="1:42" ht="15.75" thickBot="1">
      <c r="A133" s="586"/>
      <c r="B133" s="540"/>
      <c r="C133" s="540" t="s">
        <v>25</v>
      </c>
      <c r="D133" s="540"/>
      <c r="E133" s="540"/>
      <c r="F133" s="540"/>
      <c r="G133" s="540"/>
      <c r="H133" s="530"/>
      <c r="I133" s="587"/>
      <c r="J133" s="588"/>
      <c r="K133" s="2309" t="s">
        <v>1143</v>
      </c>
      <c r="L133" s="2309"/>
      <c r="M133" s="2309"/>
      <c r="N133" s="2309"/>
      <c r="O133" s="2309"/>
      <c r="P133" s="1852"/>
      <c r="Q133" s="17"/>
      <c r="T133" s="2310"/>
      <c r="U133" s="2310" t="s">
        <v>1089</v>
      </c>
      <c r="V133" s="2310"/>
      <c r="W133" s="309"/>
      <c r="X133" s="309"/>
      <c r="Y133" s="309"/>
      <c r="Z133" s="309"/>
      <c r="AA133" s="346">
        <v>0.05</v>
      </c>
      <c r="AB133" s="421">
        <v>0.1</v>
      </c>
      <c r="AC133" s="1851"/>
      <c r="AD133" s="1851"/>
      <c r="AE133" s="188"/>
      <c r="AF133" s="188"/>
      <c r="AG133" s="1866"/>
      <c r="AH133" s="1851"/>
      <c r="AO133" s="13"/>
      <c r="AP133" s="13"/>
    </row>
    <row r="134" spans="1:42" ht="108.75" thickBot="1">
      <c r="A134" s="586"/>
      <c r="B134" s="589" t="s">
        <v>10</v>
      </c>
      <c r="C134" s="590" t="s">
        <v>11</v>
      </c>
      <c r="D134" s="590" t="s">
        <v>12</v>
      </c>
      <c r="E134" s="590" t="s">
        <v>13</v>
      </c>
      <c r="F134" s="590" t="s">
        <v>14</v>
      </c>
      <c r="G134" s="591" t="s">
        <v>15</v>
      </c>
      <c r="H134" s="592" t="s">
        <v>1090</v>
      </c>
      <c r="I134" s="592">
        <f>$C$5</f>
        <v>0.49</v>
      </c>
      <c r="J134" s="593">
        <f>$C$5</f>
        <v>0.49</v>
      </c>
      <c r="K134" s="601" t="s">
        <v>15</v>
      </c>
      <c r="L134" s="315" t="s">
        <v>12</v>
      </c>
      <c r="M134" s="316" t="s">
        <v>1091</v>
      </c>
      <c r="N134" s="605" t="s">
        <v>993</v>
      </c>
      <c r="O134" s="317" t="s">
        <v>1092</v>
      </c>
      <c r="P134" s="602" t="s">
        <v>1092</v>
      </c>
      <c r="Q134" s="200" t="s">
        <v>1093</v>
      </c>
      <c r="R134" s="201" t="s">
        <v>1094</v>
      </c>
      <c r="S134" s="350" t="s">
        <v>1095</v>
      </c>
      <c r="T134" s="203" t="s">
        <v>1095</v>
      </c>
      <c r="U134" s="204" t="s">
        <v>1096</v>
      </c>
      <c r="V134" s="205" t="s">
        <v>1093</v>
      </c>
      <c r="W134" s="206" t="s">
        <v>1094</v>
      </c>
      <c r="X134" s="207" t="s">
        <v>1097</v>
      </c>
      <c r="Y134" s="208">
        <f>$X$33</f>
        <v>0.49</v>
      </c>
      <c r="Z134" s="207" t="s">
        <v>1098</v>
      </c>
      <c r="AA134" s="209" t="s">
        <v>1099</v>
      </c>
      <c r="AB134" s="209" t="s">
        <v>1100</v>
      </c>
      <c r="AC134" s="210" t="s">
        <v>1092</v>
      </c>
      <c r="AD134" s="211" t="s">
        <v>1101</v>
      </c>
      <c r="AE134" s="212" t="s">
        <v>1102</v>
      </c>
      <c r="AF134" s="208" t="s">
        <v>1103</v>
      </c>
      <c r="AG134" s="1867" t="s">
        <v>1104</v>
      </c>
      <c r="AH134" s="213" t="s">
        <v>1116</v>
      </c>
      <c r="AI134" s="220" t="s">
        <v>1106</v>
      </c>
      <c r="AJ134" s="483" t="s">
        <v>1107</v>
      </c>
      <c r="AK134" s="484" t="s">
        <v>1108</v>
      </c>
      <c r="AL134" s="221" t="s">
        <v>1109</v>
      </c>
      <c r="AM134" s="221" t="s">
        <v>1110</v>
      </c>
      <c r="AN134" s="221" t="s">
        <v>1111</v>
      </c>
      <c r="AO134" s="220" t="s">
        <v>1112</v>
      </c>
      <c r="AP134" s="221" t="s">
        <v>1113</v>
      </c>
    </row>
    <row r="135" spans="1:42" ht="15.75">
      <c r="A135" s="586"/>
      <c r="B135" s="594" t="s">
        <v>581</v>
      </c>
      <c r="C135" s="552" t="s">
        <v>190</v>
      </c>
      <c r="D135" s="553">
        <v>127</v>
      </c>
      <c r="E135" s="552">
        <v>15</v>
      </c>
      <c r="F135" s="553">
        <v>150</v>
      </c>
      <c r="G135" s="554">
        <v>118</v>
      </c>
      <c r="H135" s="352">
        <f>G135*(1+$H$33)</f>
        <v>126.26</v>
      </c>
      <c r="I135" s="352">
        <f>H135-H135*$J$113</f>
        <v>64.392600000000002</v>
      </c>
      <c r="J135" s="606">
        <f>G135-G135*$J$134</f>
        <v>60.18</v>
      </c>
      <c r="K135" s="427">
        <v>116</v>
      </c>
      <c r="L135" s="607">
        <v>96</v>
      </c>
      <c r="M135" s="608">
        <f>L135/D135*100%</f>
        <v>0.75590551181102361</v>
      </c>
      <c r="N135" s="609">
        <f>K135-(K135*$N$33)</f>
        <v>63.8</v>
      </c>
      <c r="O135" s="562">
        <f>((N135/J135)-1)*100%</f>
        <v>6.0152874709205717E-2</v>
      </c>
      <c r="P135" s="610">
        <f>((N135/I135)-1)*100%</f>
        <v>-9.2029208325180578E-3</v>
      </c>
      <c r="Q135" s="560">
        <v>1.65</v>
      </c>
      <c r="R135" s="561">
        <f>Q135*$R$33</f>
        <v>77.60445</v>
      </c>
      <c r="S135" s="562">
        <f>((J135-R135)/J135)*100%</f>
        <v>-0.28953888334995015</v>
      </c>
      <c r="T135" s="237">
        <f>((I135-R135)/I135)*100%</f>
        <v>-0.20517652649528048</v>
      </c>
      <c r="U135" s="238">
        <v>1.167</v>
      </c>
      <c r="V135" s="239">
        <f>U135*$X$31</f>
        <v>1.4004000000000001</v>
      </c>
      <c r="W135" s="239">
        <f>V135*$R$33</f>
        <v>65.865013200000007</v>
      </c>
      <c r="X135" s="240">
        <f>(ROUND(W135/(1-$AA$133),0))</f>
        <v>69</v>
      </c>
      <c r="Y135" s="239">
        <f>Z135*(1-$X$33)</f>
        <v>66.3</v>
      </c>
      <c r="Z135" s="240">
        <f>ROUND(X135/(1-$X$32),0)</f>
        <v>130</v>
      </c>
      <c r="AA135" s="241">
        <f>((X135-W135)/X135)*100%</f>
        <v>4.5434591304347724E-2</v>
      </c>
      <c r="AB135" s="241">
        <f>((Y135-W135)/Y135)*100%</f>
        <v>6.560886877827906E-3</v>
      </c>
      <c r="AC135" s="265">
        <f>((N135/Y135)-1)*100%</f>
        <v>-3.7707390648567096E-2</v>
      </c>
      <c r="AD135" s="243">
        <f>((N135*0.96-W135)/(N135*0.96))*100%</f>
        <v>-7.5382268808777589E-2</v>
      </c>
      <c r="AE135" s="238">
        <f>N135/$R$33</f>
        <v>1.3564943762889885</v>
      </c>
      <c r="AF135" s="239">
        <f>(V135/(1-$AA$133))</f>
        <v>1.4741052631578948</v>
      </c>
      <c r="AG135" s="1868">
        <v>2.78</v>
      </c>
      <c r="AH135" s="244">
        <f>((AF135-V135)/AF135)*100%</f>
        <v>4.9999999999999982E-2</v>
      </c>
      <c r="AI135" s="77">
        <f>AJ135/$AJ$109</f>
        <v>0.36336965632858342</v>
      </c>
      <c r="AJ135" s="563">
        <f>VLOOKUP($B135,[1]Статистика!$B:$D,3,FALSE)</f>
        <v>4335</v>
      </c>
      <c r="AK135" s="270">
        <f>AJ135*Q135*S135</f>
        <v>-2070.999247881356</v>
      </c>
      <c r="AL135" s="77">
        <f>AK135/$AK$138</f>
        <v>0.65528452332632503</v>
      </c>
      <c r="AM135" s="77">
        <f>AJ135/$AJ$141</f>
        <v>0.18524057772839927</v>
      </c>
      <c r="AN135" s="77">
        <f>AK135/$AK$141</f>
        <v>0.15938454891869916</v>
      </c>
      <c r="AO135" s="77">
        <f>AJ135/$AJ$23</f>
        <v>2.0371020426001034E-3</v>
      </c>
      <c r="AP135" s="77">
        <f>AK135/$AK$23</f>
        <v>1.7864436782679152E-2</v>
      </c>
    </row>
    <row r="136" spans="1:42" ht="16.5" thickBot="1">
      <c r="A136" s="586"/>
      <c r="B136" s="564" t="s">
        <v>732</v>
      </c>
      <c r="C136" s="565" t="s">
        <v>192</v>
      </c>
      <c r="D136" s="566">
        <v>190</v>
      </c>
      <c r="E136" s="565">
        <v>10</v>
      </c>
      <c r="F136" s="566">
        <v>100</v>
      </c>
      <c r="G136" s="566">
        <v>184</v>
      </c>
      <c r="H136" s="567">
        <f>G136*(1+$H$33)</f>
        <v>196.88000000000002</v>
      </c>
      <c r="I136" s="567">
        <f>H136-H136*$J$113</f>
        <v>100.40880000000001</v>
      </c>
      <c r="J136" s="611">
        <f>G136-G136*$J$134</f>
        <v>93.84</v>
      </c>
      <c r="K136" s="340">
        <v>211</v>
      </c>
      <c r="L136" s="612">
        <v>185</v>
      </c>
      <c r="M136" s="613">
        <f>L136/D136*100%</f>
        <v>0.97368421052631582</v>
      </c>
      <c r="N136" s="570">
        <f>K136-(K136*$N$33)</f>
        <v>116.05</v>
      </c>
      <c r="O136" s="571">
        <f>((N136/J136)-1)*100%</f>
        <v>0.23667945439045179</v>
      </c>
      <c r="P136" s="572">
        <f>((N136/I136)-1)*100%</f>
        <v>0.15577519101911363</v>
      </c>
      <c r="Q136" s="573">
        <v>2.42</v>
      </c>
      <c r="R136" s="496">
        <f>Q136*$R$33</f>
        <v>113.81986000000001</v>
      </c>
      <c r="S136" s="598">
        <f>((J136-R136)/J136)*100%</f>
        <v>-0.21291410912190964</v>
      </c>
      <c r="T136" s="260">
        <f>((I136-R136)/I136)*100%</f>
        <v>-0.13356458796440143</v>
      </c>
      <c r="U136" s="261">
        <v>1.7170000000000001</v>
      </c>
      <c r="V136" s="239">
        <f>U136*$X$31</f>
        <v>2.0604</v>
      </c>
      <c r="W136" s="262">
        <f>V136*$R$33</f>
        <v>96.90679320000001</v>
      </c>
      <c r="X136" s="240">
        <f>(ROUND(W136/(1-$AB$133),0))</f>
        <v>108</v>
      </c>
      <c r="Y136" s="239">
        <f>Z136*(1-$X$33)</f>
        <v>104.04</v>
      </c>
      <c r="Z136" s="263">
        <f>ROUND(X136/(1-$X$32),0)</f>
        <v>204</v>
      </c>
      <c r="AA136" s="264">
        <f>((X136-W136)/X136)*100%</f>
        <v>0.10271487777777769</v>
      </c>
      <c r="AB136" s="241">
        <f>((Y136-W136)/Y136)*100%</f>
        <v>6.8562156862745055E-2</v>
      </c>
      <c r="AC136" s="242">
        <f>((N136/Y136)-1)*100%</f>
        <v>0.11543637062668188</v>
      </c>
      <c r="AD136" s="266">
        <f>((N136*0.96-W136)/(N136*0.96))*100%</f>
        <v>0.13016306548901316</v>
      </c>
      <c r="AE136" s="261">
        <f>N136/$R$33</f>
        <v>2.467416494801522</v>
      </c>
      <c r="AF136" s="239">
        <f>(V136/(1-$AB$133))</f>
        <v>2.2893333333333334</v>
      </c>
      <c r="AG136" s="1869">
        <v>4.3499999999999996</v>
      </c>
      <c r="AH136" s="267">
        <f>((AF136-V136)/AF136)*100%</f>
        <v>0.10000000000000003</v>
      </c>
      <c r="AI136" s="92">
        <f>AJ136/$AJ$109</f>
        <v>0.10335289186923721</v>
      </c>
      <c r="AJ136" s="338">
        <f>VLOOKUP($B136,[1]Статистика!$B:$D,3,FALSE)</f>
        <v>1233</v>
      </c>
      <c r="AK136" s="297">
        <f>AJ136*Q136*S136</f>
        <v>-635.30589364450134</v>
      </c>
      <c r="AL136" s="92">
        <f>AK136/$AK$138</f>
        <v>0.20101703084109063</v>
      </c>
      <c r="AM136" s="92">
        <f>AJ136/$AJ$141</f>
        <v>5.2687804461157166E-2</v>
      </c>
      <c r="AN136" s="92">
        <f>AK136/$AK$141</f>
        <v>4.8893278637115567E-2</v>
      </c>
      <c r="AO136" s="77">
        <f>AJ136/$AJ$23</f>
        <v>5.794110308018287E-4</v>
      </c>
      <c r="AP136" s="77">
        <f>AK136/$AK$23</f>
        <v>5.4801478012539888E-3</v>
      </c>
    </row>
    <row r="137" spans="1:42" ht="15.75" thickBot="1">
      <c r="A137" s="599"/>
      <c r="B137" s="574" t="s">
        <v>733</v>
      </c>
      <c r="C137" s="575" t="s">
        <v>194</v>
      </c>
      <c r="D137" s="576">
        <v>270</v>
      </c>
      <c r="E137" s="575">
        <v>6</v>
      </c>
      <c r="F137" s="576">
        <v>60</v>
      </c>
      <c r="G137" s="576">
        <v>260</v>
      </c>
      <c r="H137" s="577">
        <f>G137*(1+$H$33)</f>
        <v>278.2</v>
      </c>
      <c r="I137" s="577">
        <f>H137-H137*$J$113</f>
        <v>141.88200000000001</v>
      </c>
      <c r="J137" s="600">
        <f>G137-G137*$J$134</f>
        <v>132.60000000000002</v>
      </c>
      <c r="K137" s="578"/>
      <c r="L137" s="579"/>
      <c r="M137" s="580"/>
      <c r="N137" s="581"/>
      <c r="O137" s="582"/>
      <c r="P137" s="582">
        <f>AVERAGE(P135:P136)</f>
        <v>7.3286135093297788E-2</v>
      </c>
      <c r="Q137" s="583">
        <v>3.49</v>
      </c>
      <c r="R137" s="408">
        <f>Q137*$R$33</f>
        <v>164.14517000000001</v>
      </c>
      <c r="S137" s="571">
        <f>((J137-R137)/J137)*100%</f>
        <v>-0.23789720965309186</v>
      </c>
      <c r="T137" s="260">
        <f>((I137-R137)/I137)*100%</f>
        <v>-0.15691328004961871</v>
      </c>
      <c r="U137" s="261">
        <v>2.4780000000000002</v>
      </c>
      <c r="V137" s="239">
        <f>U137*$X$31</f>
        <v>2.9736000000000002</v>
      </c>
      <c r="W137" s="262">
        <f>V137*$R$33</f>
        <v>139.8573288</v>
      </c>
      <c r="X137" s="240">
        <f>(ROUND(W137/(1-$AB$133),0))</f>
        <v>155</v>
      </c>
      <c r="Y137" s="239">
        <f>Z137*(1-$X$33)</f>
        <v>148.92000000000002</v>
      </c>
      <c r="Z137" s="263">
        <f>ROUND(X137/(1-$X$32),0)</f>
        <v>292</v>
      </c>
      <c r="AA137" s="264">
        <f>((X137-W137)/X137)*100%</f>
        <v>9.7694652903225779E-2</v>
      </c>
      <c r="AB137" s="241">
        <f>((Y137-W137)/Y137)*100%</f>
        <v>6.0855970991136252E-2</v>
      </c>
      <c r="AC137" s="242"/>
      <c r="AD137" s="266"/>
      <c r="AE137" s="261">
        <f>N137/$R$33</f>
        <v>0</v>
      </c>
      <c r="AF137" s="239">
        <f>(V137/(1-$AB$133))</f>
        <v>3.3040000000000003</v>
      </c>
      <c r="AG137" s="1869">
        <v>6.24</v>
      </c>
      <c r="AH137" s="267">
        <f>((AF137-V137)/AF137)*100%</f>
        <v>0.1</v>
      </c>
      <c r="AI137" s="77">
        <f>AJ137/$AJ$109</f>
        <v>4.5850796311818945E-2</v>
      </c>
      <c r="AJ137" s="333">
        <f>[1]Статистика!D487</f>
        <v>547</v>
      </c>
      <c r="AK137" s="270">
        <f>AJ137*Q137*S137</f>
        <v>-454.15291014404198</v>
      </c>
      <c r="AL137" s="77">
        <f>AK137/$AK$138</f>
        <v>0.14369844583258432</v>
      </c>
      <c r="AM137" s="77">
        <f>AJ137/$AJ$141</f>
        <v>2.3374070592257074E-2</v>
      </c>
      <c r="AN137" s="77">
        <f>AK137/$AK$141</f>
        <v>3.4951705944593112E-2</v>
      </c>
      <c r="AO137" s="77">
        <f>AJ137/$AJ$23</f>
        <v>2.5704609395669126E-4</v>
      </c>
      <c r="AP137" s="77">
        <f>AK137/$AK$23</f>
        <v>3.917522404335896E-3</v>
      </c>
    </row>
    <row r="138" spans="1:42" ht="16.5" thickBot="1">
      <c r="A138" s="187"/>
      <c r="J138" s="532"/>
      <c r="K138" s="533"/>
      <c r="P138" s="127">
        <f>AVERAGE(P114:P115,P128:P129,P135:P136)</f>
        <v>0.10061591528424929</v>
      </c>
      <c r="Q138" s="17"/>
      <c r="S138" s="584"/>
      <c r="T138" s="2310"/>
      <c r="U138" s="2310"/>
      <c r="V138" s="2310"/>
      <c r="W138" s="309"/>
      <c r="X138" s="309"/>
      <c r="Y138" s="309"/>
      <c r="Z138" s="309"/>
      <c r="AA138" s="614"/>
      <c r="AB138" s="421"/>
      <c r="AC138" s="1851"/>
      <c r="AD138" s="585">
        <f>AVERAGE(AD135:AD137)</f>
        <v>2.7390398340117784E-2</v>
      </c>
      <c r="AE138" s="188"/>
      <c r="AF138" s="188"/>
      <c r="AG138" s="1866"/>
      <c r="AH138" s="1851"/>
      <c r="AI138" s="512">
        <f>S136*AI136+S137*AI137</f>
        <v>-3.2913065400465701E-2</v>
      </c>
      <c r="AJ138" s="513">
        <f>SUM(AJ135:AJ137)</f>
        <v>6115</v>
      </c>
      <c r="AK138" s="514">
        <f>SUM(AK135:AK137)</f>
        <v>-3160.4580516698993</v>
      </c>
      <c r="AM138" s="307">
        <f>SUM(AM135:AM137)</f>
        <v>0.26130245278181352</v>
      </c>
      <c r="AN138" s="307">
        <f>SUM(AN135:AN137)</f>
        <v>0.24322953350040782</v>
      </c>
      <c r="AO138" s="308">
        <f>SUM(AO135:AO137)</f>
        <v>2.8735591673586234E-3</v>
      </c>
      <c r="AP138" s="308">
        <f>SUM(AP135:AP137)</f>
        <v>2.7262106988269037E-2</v>
      </c>
    </row>
    <row r="139" spans="1:42" ht="34.5" customHeight="1" thickBot="1">
      <c r="A139" s="187"/>
      <c r="J139" s="532"/>
      <c r="K139" s="533"/>
      <c r="Q139" s="17"/>
      <c r="R139" s="1856" t="s">
        <v>1133</v>
      </c>
      <c r="S139" s="615">
        <f>AVERAGE(S114:S116,S121:S123,S128:S130,S128:S130,S135:S137)</f>
        <v>-0.25796479609875822</v>
      </c>
      <c r="T139" s="525">
        <f>AVERAGE(T114:T116,T121:T123,T128:T130,T135:T137)</f>
        <v>-0.17712300104534562</v>
      </c>
      <c r="U139" s="2318" t="s">
        <v>1144</v>
      </c>
      <c r="V139" s="2319"/>
      <c r="W139" s="2319"/>
      <c r="X139" s="2319"/>
      <c r="Y139" s="2319"/>
      <c r="Z139" s="2319"/>
      <c r="AA139" s="616">
        <f>AVERAGE(AA114:AA116,AA121:AA123,AA128:AA130,AA135:AA137)</f>
        <v>9.0877737574536724E-2</v>
      </c>
      <c r="AB139" s="617">
        <f>AVERAGE(AB114:AB116,AB121:AB123,AB128:AB130,AB135:AB137)</f>
        <v>5.4814609312891581E-2</v>
      </c>
      <c r="AC139" s="616">
        <f>AVERAGE(AC114:AC116,AC121:AC123,AC128:AC130,AC135:AC137)</f>
        <v>4.6749663573785606E-2</v>
      </c>
      <c r="AD139" s="2327"/>
      <c r="AE139" s="2328"/>
      <c r="AF139" s="2328"/>
      <c r="AG139" s="2329"/>
      <c r="AH139" s="616">
        <f>AVERAGE(AH114:AH116,AH121:AH123,AH128:AH130,AH135:AH137)</f>
        <v>9.166666666666666E-2</v>
      </c>
      <c r="AO139" s="13"/>
      <c r="AP139" s="13"/>
    </row>
    <row r="140" spans="1:42" ht="21.75" thickBot="1">
      <c r="A140" s="146" t="s">
        <v>748</v>
      </c>
      <c r="B140" s="146"/>
      <c r="C140" s="618"/>
      <c r="D140" s="619"/>
      <c r="E140" s="619"/>
      <c r="F140" s="2324" t="s">
        <v>1145</v>
      </c>
      <c r="G140" s="2324"/>
      <c r="H140" s="2324"/>
      <c r="I140" s="2324"/>
      <c r="J140" s="2324"/>
      <c r="K140" s="2324"/>
      <c r="L140" s="2324"/>
      <c r="M140" s="2324"/>
      <c r="Q140" s="17"/>
      <c r="AI140" s="2313" t="s">
        <v>1146</v>
      </c>
      <c r="AJ140" s="2314"/>
      <c r="AK140" s="2315"/>
      <c r="AO140" s="13"/>
      <c r="AP140" s="13"/>
    </row>
    <row r="141" spans="1:42" ht="15.75" thickBot="1">
      <c r="A141" s="156" t="s">
        <v>1</v>
      </c>
      <c r="B141" s="156"/>
      <c r="C141" s="620"/>
      <c r="E141" s="157"/>
      <c r="F141" s="621"/>
      <c r="G141" s="621"/>
      <c r="H141" s="159"/>
      <c r="I141" s="160"/>
      <c r="J141" s="622"/>
      <c r="K141" s="533"/>
      <c r="Q141" s="17"/>
      <c r="AI141" s="534">
        <f>AVERAGE(AI117,AI124,AI131,AI138)</f>
        <v>-4.6650381399866277E-2</v>
      </c>
      <c r="AJ141" s="535">
        <f>SUM(AJ117,AJ124,AJ131,AJ138)</f>
        <v>23402</v>
      </c>
      <c r="AK141" s="536">
        <f>SUM(AK117,AK124,AK131,AK138)</f>
        <v>-12993.726568425129</v>
      </c>
      <c r="AL141" s="537"/>
      <c r="AM141" s="307">
        <f>SUM(AM117,AM124,AM131,AM138)</f>
        <v>1</v>
      </c>
      <c r="AN141" s="307">
        <f>SUM(AN117,AN124,AN131,AN138)</f>
        <v>1</v>
      </c>
      <c r="AO141" s="539">
        <f>SUM(AO117,AO124,AO131,AO138)</f>
        <v>1.0997061591909486E-2</v>
      </c>
      <c r="AP141" s="539">
        <f>SUM(AP117,AP124,AP131,AP138)</f>
        <v>0.1120838682537017</v>
      </c>
    </row>
    <row r="142" spans="1:42" ht="15" customHeight="1">
      <c r="A142" s="2281" t="s">
        <v>800</v>
      </c>
      <c r="B142" s="2281"/>
      <c r="C142" s="2281"/>
      <c r="D142" s="2281"/>
      <c r="E142" s="2281"/>
      <c r="F142" s="2281"/>
      <c r="G142" s="2281"/>
      <c r="H142" s="623"/>
      <c r="I142" s="624"/>
      <c r="J142" s="622"/>
      <c r="K142" s="533"/>
      <c r="Q142" s="17"/>
      <c r="AO142" s="13"/>
      <c r="AP142" s="13"/>
    </row>
    <row r="143" spans="1:42" ht="31.5" customHeight="1">
      <c r="A143" s="2281"/>
      <c r="B143" s="2281"/>
      <c r="C143" s="2281"/>
      <c r="D143" s="2281"/>
      <c r="E143" s="2281"/>
      <c r="F143" s="2281"/>
      <c r="G143" s="2281"/>
      <c r="H143" s="623"/>
      <c r="I143" s="624"/>
      <c r="J143" s="622"/>
      <c r="K143" s="533"/>
      <c r="Q143" s="17"/>
      <c r="AO143" s="13"/>
      <c r="AP143" s="13"/>
    </row>
    <row r="144" spans="1:42">
      <c r="A144" s="156" t="s">
        <v>2</v>
      </c>
      <c r="B144" s="156"/>
      <c r="E144" s="157"/>
      <c r="J144" s="622"/>
      <c r="K144" s="533"/>
      <c r="Q144" s="17"/>
      <c r="AO144" s="13"/>
      <c r="AP144" s="13"/>
    </row>
    <row r="145" spans="1:42" ht="15" customHeight="1">
      <c r="A145" s="2281" t="s">
        <v>782</v>
      </c>
      <c r="B145" s="2281"/>
      <c r="C145" s="2281"/>
      <c r="D145" s="2281"/>
      <c r="E145" s="2281"/>
      <c r="F145" s="2281"/>
      <c r="G145" s="2281"/>
      <c r="H145" s="623"/>
      <c r="I145" s="624"/>
      <c r="J145" s="622"/>
      <c r="K145" s="533"/>
      <c r="Q145" s="17"/>
      <c r="AO145" s="13"/>
      <c r="AP145" s="13"/>
    </row>
    <row r="146" spans="1:42" ht="18.75" customHeight="1">
      <c r="A146" s="2281"/>
      <c r="B146" s="2281"/>
      <c r="C146" s="2281"/>
      <c r="D146" s="2281"/>
      <c r="E146" s="2281"/>
      <c r="F146" s="2281"/>
      <c r="G146" s="2281"/>
      <c r="H146" s="623"/>
      <c r="I146" s="624"/>
      <c r="J146" s="622"/>
      <c r="K146" s="533"/>
      <c r="Q146" s="17"/>
      <c r="AO146" s="13"/>
      <c r="AP146" s="13"/>
    </row>
    <row r="147" spans="1:42">
      <c r="A147" s="156" t="s">
        <v>5</v>
      </c>
      <c r="B147" s="156"/>
      <c r="E147" s="157"/>
      <c r="J147" s="622"/>
      <c r="K147" s="533"/>
      <c r="Q147" s="17"/>
      <c r="AO147" s="13"/>
      <c r="AP147" s="13"/>
    </row>
    <row r="148" spans="1:42">
      <c r="A148" s="162" t="s">
        <v>607</v>
      </c>
      <c r="B148" s="162"/>
      <c r="E148" s="157"/>
      <c r="J148" s="622"/>
      <c r="K148" s="533"/>
      <c r="Q148" s="17"/>
      <c r="AO148" s="13"/>
      <c r="AP148" s="13"/>
    </row>
    <row r="149" spans="1:42">
      <c r="A149" s="162" t="s">
        <v>775</v>
      </c>
      <c r="B149" s="162"/>
      <c r="E149" s="157"/>
      <c r="J149" s="622"/>
      <c r="K149" s="533"/>
      <c r="Q149" s="17"/>
      <c r="AO149" s="13"/>
      <c r="AP149" s="13"/>
    </row>
    <row r="150" spans="1:42" ht="23.25">
      <c r="A150" s="625" t="s">
        <v>750</v>
      </c>
      <c r="B150" s="625"/>
      <c r="C150" s="625"/>
      <c r="D150" s="17"/>
      <c r="E150" s="626"/>
      <c r="G150" s="17"/>
      <c r="J150" s="622"/>
      <c r="K150" s="533"/>
      <c r="Q150" s="17"/>
      <c r="AO150" s="13"/>
      <c r="AP150" s="13"/>
    </row>
    <row r="151" spans="1:42" ht="24" thickBot="1">
      <c r="A151" s="2325" t="s">
        <v>783</v>
      </c>
      <c r="B151" s="2325"/>
      <c r="C151" s="2325"/>
      <c r="D151" s="17"/>
      <c r="E151" s="626"/>
      <c r="G151" s="17"/>
      <c r="J151" s="622"/>
      <c r="K151" s="533"/>
      <c r="Q151" s="17"/>
      <c r="S151" s="1851"/>
      <c r="T151" s="627"/>
      <c r="U151" s="627"/>
      <c r="V151" s="627"/>
      <c r="W151" s="627"/>
      <c r="X151" s="627"/>
      <c r="Y151" s="627"/>
      <c r="Z151" s="627"/>
      <c r="AA151" s="628">
        <v>0.12</v>
      </c>
      <c r="AB151" s="1851"/>
      <c r="AC151" s="1851"/>
      <c r="AD151" s="188"/>
      <c r="AE151" s="188"/>
      <c r="AF151" s="188"/>
      <c r="AG151" s="1876"/>
      <c r="AH151" s="1851"/>
      <c r="AO151" s="13"/>
      <c r="AP151" s="13"/>
    </row>
    <row r="152" spans="1:42" ht="108.75" thickBot="1">
      <c r="A152" s="147" t="s">
        <v>609</v>
      </c>
      <c r="B152" s="629" t="s">
        <v>10</v>
      </c>
      <c r="C152" s="630" t="s">
        <v>11</v>
      </c>
      <c r="D152" s="631" t="s">
        <v>12</v>
      </c>
      <c r="E152" s="631" t="s">
        <v>13</v>
      </c>
      <c r="F152" s="370" t="s">
        <v>14</v>
      </c>
      <c r="G152" s="632" t="s">
        <v>15</v>
      </c>
      <c r="H152" s="372" t="s">
        <v>1090</v>
      </c>
      <c r="I152" s="633">
        <f>$C$6</f>
        <v>0.49</v>
      </c>
      <c r="J152" s="634">
        <f>$C$6</f>
        <v>0.49</v>
      </c>
      <c r="O152" s="635" t="s">
        <v>1093</v>
      </c>
      <c r="P152" s="636"/>
      <c r="Q152" s="201" t="s">
        <v>1094</v>
      </c>
      <c r="S152" s="637" t="s">
        <v>1095</v>
      </c>
      <c r="T152" s="203" t="s">
        <v>1095</v>
      </c>
      <c r="U152" s="204" t="s">
        <v>1096</v>
      </c>
      <c r="V152" s="206" t="s">
        <v>1093</v>
      </c>
      <c r="W152" s="206" t="s">
        <v>1094</v>
      </c>
      <c r="X152" s="207" t="s">
        <v>1097</v>
      </c>
      <c r="Y152" s="206">
        <f>$X$33</f>
        <v>0.49</v>
      </c>
      <c r="Z152" s="207" t="s">
        <v>1098</v>
      </c>
      <c r="AA152" s="209" t="s">
        <v>1099</v>
      </c>
      <c r="AB152" s="209" t="s">
        <v>1100</v>
      </c>
      <c r="AC152" s="211" t="s">
        <v>1092</v>
      </c>
      <c r="AD152" s="211" t="s">
        <v>1101</v>
      </c>
      <c r="AE152" s="208" t="s">
        <v>1102</v>
      </c>
      <c r="AF152" s="208" t="s">
        <v>1103</v>
      </c>
      <c r="AG152" s="1867" t="s">
        <v>1104</v>
      </c>
      <c r="AH152" s="213" t="s">
        <v>1116</v>
      </c>
      <c r="AI152" s="218" t="s">
        <v>1106</v>
      </c>
      <c r="AJ152" s="319" t="s">
        <v>1107</v>
      </c>
      <c r="AK152" s="320" t="s">
        <v>1108</v>
      </c>
      <c r="AL152" s="219" t="s">
        <v>1109</v>
      </c>
      <c r="AM152" s="219" t="s">
        <v>1147</v>
      </c>
      <c r="AN152" s="219" t="s">
        <v>1148</v>
      </c>
      <c r="AO152" s="220" t="s">
        <v>1112</v>
      </c>
      <c r="AP152" s="221" t="s">
        <v>1113</v>
      </c>
    </row>
    <row r="153" spans="1:42">
      <c r="B153" s="638" t="s">
        <v>1149</v>
      </c>
      <c r="C153" s="639" t="s">
        <v>190</v>
      </c>
      <c r="D153" s="640">
        <v>210</v>
      </c>
      <c r="E153" s="641">
        <v>6</v>
      </c>
      <c r="F153" s="642">
        <v>72</v>
      </c>
      <c r="G153" s="643">
        <v>160</v>
      </c>
      <c r="H153" s="504">
        <f t="shared" ref="H153:H158" si="72">G153*(1+$H$33)</f>
        <v>171.20000000000002</v>
      </c>
      <c r="I153" s="504">
        <f t="shared" ref="I153:I158" si="73">H153-H153*$J$152</f>
        <v>87.312000000000012</v>
      </c>
      <c r="J153" s="644">
        <f t="shared" ref="J153:J158" si="74">G153-G153*$J$152</f>
        <v>81.599999999999994</v>
      </c>
      <c r="K153" s="645"/>
      <c r="L153" s="646">
        <v>2.2000000000000002</v>
      </c>
      <c r="M153" s="647">
        <f t="shared" ref="M153:M158" si="75">O153*1-$N$153</f>
        <v>2.2000000000000002</v>
      </c>
      <c r="N153" s="647"/>
      <c r="O153" s="648">
        <v>2.2000000000000002</v>
      </c>
      <c r="P153" s="649"/>
      <c r="Q153" s="650">
        <f t="shared" ref="Q153:Q158" si="76">M153*$R$33</f>
        <v>103.47260000000001</v>
      </c>
      <c r="S153" s="651">
        <f t="shared" ref="S153:S158" si="77">((J153-Q153)/J153)*100%</f>
        <v>-0.26804656862745124</v>
      </c>
      <c r="T153" s="237">
        <f t="shared" ref="T153:T158" si="78">((I153-Q153)/I153)*100%</f>
        <v>-0.18509025105369251</v>
      </c>
      <c r="U153" s="238">
        <f t="shared" ref="U153:U158" si="79">L153/1.2</f>
        <v>1.8333333333333335</v>
      </c>
      <c r="V153" s="239">
        <f t="shared" ref="V153:V158" si="80">U153*$X$31</f>
        <v>2.2000000000000002</v>
      </c>
      <c r="W153" s="239">
        <f t="shared" ref="W153:W158" si="81">V153*$R$33</f>
        <v>103.47260000000001</v>
      </c>
      <c r="X153" s="240">
        <f t="shared" ref="X153:X158" si="82">(ROUND(W153/(1-$AA$151),0))</f>
        <v>118</v>
      </c>
      <c r="Y153" s="239">
        <f t="shared" ref="Y153:Y158" si="83">Z153*(1-$X$33)</f>
        <v>113.73</v>
      </c>
      <c r="Z153" s="240">
        <f t="shared" ref="Z153:Z158" si="84">ROUND(X153/(1-$X$32),0)</f>
        <v>223</v>
      </c>
      <c r="AA153" s="241">
        <f t="shared" ref="AA153:AA158" si="85">((X153-W153)/X153)*100%</f>
        <v>0.12311355932203377</v>
      </c>
      <c r="AB153" s="241">
        <f t="shared" ref="AB153:AB158" si="86">((Y153-W153)/Y153)*100%</f>
        <v>9.0190802778510409E-2</v>
      </c>
      <c r="AC153" s="243"/>
      <c r="AD153" s="243"/>
      <c r="AE153" s="239"/>
      <c r="AF153" s="239">
        <f t="shared" ref="AF153:AF158" si="87">(V153/(1-$AA$151))</f>
        <v>2.5</v>
      </c>
      <c r="AG153" s="1868">
        <v>4.72</v>
      </c>
      <c r="AH153" s="244">
        <f t="shared" ref="AH153:AH158" si="88">((AF153-V153)/AF153)*100%</f>
        <v>0.11999999999999993</v>
      </c>
      <c r="AI153" s="50">
        <f t="shared" ref="AI153:AI158" si="89">AJ153/$AJ$159</f>
        <v>0.34161771351107095</v>
      </c>
      <c r="AJ153" s="354">
        <f>VLOOKUP($B153,[1]Статистика!$B:$D,3,FALSE)</f>
        <v>756</v>
      </c>
      <c r="AK153" s="355">
        <f t="shared" ref="AK153:AK158" si="90">AJ153*O153*S153</f>
        <v>-445.81505294117693</v>
      </c>
      <c r="AL153" s="652">
        <f t="shared" ref="AL153:AL158" si="91">AK153/$AK$159</f>
        <v>0.1630234651872691</v>
      </c>
      <c r="AM153" s="50">
        <f t="shared" ref="AM153:AM158" si="92">AJ153/$AJ$180</f>
        <v>0.28125</v>
      </c>
      <c r="AN153" s="50">
        <f t="shared" ref="AN153:AN158" si="93">AK153/$AK$180</f>
        <v>0.15948898572754991</v>
      </c>
      <c r="AO153" s="77">
        <f t="shared" ref="AO153:AO158" si="94">AJ153/$AJ$23</f>
        <v>3.5525931815586577E-4</v>
      </c>
      <c r="AP153" s="77">
        <f t="shared" ref="AP153:AP158" si="95">AK153/$AK$23</f>
        <v>3.8456000590931507E-3</v>
      </c>
    </row>
    <row r="154" spans="1:42">
      <c r="B154" s="653" t="s">
        <v>1150</v>
      </c>
      <c r="C154" s="654" t="s">
        <v>192</v>
      </c>
      <c r="D154" s="655">
        <v>275</v>
      </c>
      <c r="E154" s="656">
        <v>6</v>
      </c>
      <c r="F154" s="657">
        <v>60</v>
      </c>
      <c r="G154" s="658">
        <v>210</v>
      </c>
      <c r="H154" s="357">
        <f t="shared" si="72"/>
        <v>224.70000000000002</v>
      </c>
      <c r="I154" s="504">
        <f t="shared" si="73"/>
        <v>114.59700000000001</v>
      </c>
      <c r="J154" s="659">
        <f t="shared" si="74"/>
        <v>107.10000000000001</v>
      </c>
      <c r="K154" s="645"/>
      <c r="L154" s="646">
        <v>2.88</v>
      </c>
      <c r="M154" s="647">
        <f t="shared" si="75"/>
        <v>2.88</v>
      </c>
      <c r="N154" s="581"/>
      <c r="O154" s="660">
        <v>2.88</v>
      </c>
      <c r="P154" s="661"/>
      <c r="Q154" s="650">
        <f t="shared" si="76"/>
        <v>135.45504</v>
      </c>
      <c r="S154" s="662">
        <f t="shared" si="77"/>
        <v>-0.26475294117647047</v>
      </c>
      <c r="T154" s="260">
        <f t="shared" si="78"/>
        <v>-0.18201209455744904</v>
      </c>
      <c r="U154" s="238">
        <f t="shared" si="79"/>
        <v>2.4</v>
      </c>
      <c r="V154" s="262">
        <f t="shared" si="80"/>
        <v>2.88</v>
      </c>
      <c r="W154" s="262">
        <f t="shared" si="81"/>
        <v>135.45504</v>
      </c>
      <c r="X154" s="240">
        <f t="shared" si="82"/>
        <v>154</v>
      </c>
      <c r="Y154" s="262">
        <f t="shared" si="83"/>
        <v>148.41</v>
      </c>
      <c r="Z154" s="263">
        <f t="shared" si="84"/>
        <v>291</v>
      </c>
      <c r="AA154" s="241">
        <f t="shared" si="85"/>
        <v>0.1204218181818182</v>
      </c>
      <c r="AB154" s="241">
        <f t="shared" si="86"/>
        <v>8.7291691934505755E-2</v>
      </c>
      <c r="AC154" s="266"/>
      <c r="AD154" s="266"/>
      <c r="AE154" s="262"/>
      <c r="AF154" s="239">
        <f t="shared" si="87"/>
        <v>3.2727272727272725</v>
      </c>
      <c r="AG154" s="1869">
        <v>6.18</v>
      </c>
      <c r="AH154" s="267">
        <f t="shared" si="88"/>
        <v>0.11999999999999997</v>
      </c>
      <c r="AI154" s="334">
        <f t="shared" si="89"/>
        <v>0.27338454586534117</v>
      </c>
      <c r="AJ154" s="431">
        <f>VLOOKUP($B154,[1]Статистика!$B:$D,3,FALSE)</f>
        <v>605</v>
      </c>
      <c r="AK154" s="663">
        <f t="shared" si="90"/>
        <v>-461.30552470588214</v>
      </c>
      <c r="AL154" s="664">
        <f t="shared" si="91"/>
        <v>0.1686879450378429</v>
      </c>
      <c r="AM154" s="334">
        <f t="shared" si="92"/>
        <v>0.22507440476190477</v>
      </c>
      <c r="AN154" s="334">
        <f t="shared" si="93"/>
        <v>0.16503065511241038</v>
      </c>
      <c r="AO154" s="77">
        <f t="shared" si="94"/>
        <v>2.8430143847129474E-4</v>
      </c>
      <c r="AP154" s="77">
        <f t="shared" si="95"/>
        <v>3.9792208481192921E-3</v>
      </c>
    </row>
    <row r="155" spans="1:42">
      <c r="B155" s="653" t="s">
        <v>1151</v>
      </c>
      <c r="C155" s="654" t="s">
        <v>194</v>
      </c>
      <c r="D155" s="655">
        <v>400</v>
      </c>
      <c r="E155" s="656">
        <v>6</v>
      </c>
      <c r="F155" s="657">
        <v>48</v>
      </c>
      <c r="G155" s="658">
        <v>300</v>
      </c>
      <c r="H155" s="357">
        <f t="shared" si="72"/>
        <v>321</v>
      </c>
      <c r="I155" s="504">
        <f t="shared" si="73"/>
        <v>163.71</v>
      </c>
      <c r="J155" s="659">
        <f t="shared" si="74"/>
        <v>153</v>
      </c>
      <c r="K155" s="645"/>
      <c r="L155" s="646">
        <v>4.1900000000000004</v>
      </c>
      <c r="M155" s="647">
        <f t="shared" si="75"/>
        <v>4.1900000000000004</v>
      </c>
      <c r="N155" s="581"/>
      <c r="O155" s="665">
        <v>4.1900000000000004</v>
      </c>
      <c r="P155" s="649"/>
      <c r="Q155" s="650">
        <f t="shared" si="76"/>
        <v>197.06827000000001</v>
      </c>
      <c r="S155" s="662">
        <f t="shared" si="77"/>
        <v>-0.2880279084967321</v>
      </c>
      <c r="T155" s="260">
        <f t="shared" si="78"/>
        <v>-0.20376440046423555</v>
      </c>
      <c r="U155" s="238">
        <f t="shared" si="79"/>
        <v>3.4916666666666671</v>
      </c>
      <c r="V155" s="262">
        <f t="shared" si="80"/>
        <v>4.1900000000000004</v>
      </c>
      <c r="W155" s="262">
        <f t="shared" si="81"/>
        <v>197.06827000000001</v>
      </c>
      <c r="X155" s="240">
        <f t="shared" si="82"/>
        <v>224</v>
      </c>
      <c r="Y155" s="262">
        <f t="shared" si="83"/>
        <v>215.73</v>
      </c>
      <c r="Z155" s="263">
        <f t="shared" si="84"/>
        <v>423</v>
      </c>
      <c r="AA155" s="241">
        <f t="shared" si="85"/>
        <v>0.12023093749999994</v>
      </c>
      <c r="AB155" s="241">
        <f t="shared" si="86"/>
        <v>8.6505029434941719E-2</v>
      </c>
      <c r="AC155" s="266"/>
      <c r="AD155" s="266"/>
      <c r="AE155" s="262"/>
      <c r="AF155" s="239">
        <f t="shared" si="87"/>
        <v>4.7613636363636367</v>
      </c>
      <c r="AG155" s="1869">
        <v>8.98</v>
      </c>
      <c r="AH155" s="267">
        <f t="shared" si="88"/>
        <v>0.11999999999999998</v>
      </c>
      <c r="AI155" s="334">
        <f t="shared" si="89"/>
        <v>0.15951197469498418</v>
      </c>
      <c r="AJ155" s="431">
        <f>VLOOKUP($B155,[1]Статистика!$B:$D,3,FALSE)</f>
        <v>353</v>
      </c>
      <c r="AK155" s="663">
        <f t="shared" si="90"/>
        <v>-426.01343862026158</v>
      </c>
      <c r="AL155" s="664">
        <f t="shared" si="91"/>
        <v>0.15578250784049369</v>
      </c>
      <c r="AM155" s="334">
        <f t="shared" si="92"/>
        <v>0.13132440476190477</v>
      </c>
      <c r="AN155" s="334">
        <f t="shared" si="93"/>
        <v>0.15240501814284024</v>
      </c>
      <c r="AO155" s="77">
        <f t="shared" si="94"/>
        <v>1.6588166575267279E-4</v>
      </c>
      <c r="AP155" s="77">
        <f t="shared" si="95"/>
        <v>3.674791360059161E-3</v>
      </c>
    </row>
    <row r="156" spans="1:42">
      <c r="B156" s="653" t="s">
        <v>1152</v>
      </c>
      <c r="C156" s="654" t="s">
        <v>209</v>
      </c>
      <c r="D156" s="655">
        <v>610</v>
      </c>
      <c r="E156" s="656">
        <v>6</v>
      </c>
      <c r="F156" s="657">
        <v>24</v>
      </c>
      <c r="G156" s="658">
        <v>460</v>
      </c>
      <c r="H156" s="357">
        <f t="shared" si="72"/>
        <v>492.20000000000005</v>
      </c>
      <c r="I156" s="504">
        <f t="shared" si="73"/>
        <v>251.02200000000002</v>
      </c>
      <c r="J156" s="659">
        <f t="shared" si="74"/>
        <v>234.6</v>
      </c>
      <c r="K156" s="645"/>
      <c r="L156" s="646">
        <v>6.39</v>
      </c>
      <c r="M156" s="647">
        <f t="shared" si="75"/>
        <v>6.39</v>
      </c>
      <c r="N156" s="581"/>
      <c r="O156" s="660">
        <v>6.39</v>
      </c>
      <c r="P156" s="661"/>
      <c r="Q156" s="650">
        <f t="shared" si="76"/>
        <v>300.54086999999998</v>
      </c>
      <c r="S156" s="662">
        <f t="shared" si="77"/>
        <v>-0.2810778772378516</v>
      </c>
      <c r="T156" s="260">
        <f t="shared" si="78"/>
        <v>-0.19726904414752475</v>
      </c>
      <c r="U156" s="238">
        <f t="shared" si="79"/>
        <v>5.3250000000000002</v>
      </c>
      <c r="V156" s="262">
        <f t="shared" si="80"/>
        <v>6.39</v>
      </c>
      <c r="W156" s="262">
        <f t="shared" si="81"/>
        <v>300.54086999999998</v>
      </c>
      <c r="X156" s="240">
        <f t="shared" si="82"/>
        <v>342</v>
      </c>
      <c r="Y156" s="262">
        <f t="shared" si="83"/>
        <v>328.95</v>
      </c>
      <c r="Z156" s="263">
        <f t="shared" si="84"/>
        <v>645</v>
      </c>
      <c r="AA156" s="241">
        <f t="shared" si="85"/>
        <v>0.12122552631578952</v>
      </c>
      <c r="AB156" s="241">
        <f t="shared" si="86"/>
        <v>8.6363064295485653E-2</v>
      </c>
      <c r="AC156" s="266"/>
      <c r="AD156" s="266"/>
      <c r="AE156" s="262"/>
      <c r="AF156" s="239">
        <f t="shared" si="87"/>
        <v>7.2613636363636358</v>
      </c>
      <c r="AG156" s="1869">
        <v>13.7</v>
      </c>
      <c r="AH156" s="267">
        <f t="shared" si="88"/>
        <v>0.11999999999999998</v>
      </c>
      <c r="AI156" s="334">
        <f t="shared" si="89"/>
        <v>6.5973791233619516E-2</v>
      </c>
      <c r="AJ156" s="431">
        <f>VLOOKUP($B156,[1]Статистика!$B:$D,3,FALSE)</f>
        <v>146</v>
      </c>
      <c r="AK156" s="663">
        <f t="shared" si="90"/>
        <v>-262.22879479028126</v>
      </c>
      <c r="AL156" s="664">
        <f t="shared" si="91"/>
        <v>9.5890541417482197E-2</v>
      </c>
      <c r="AM156" s="334">
        <f t="shared" si="92"/>
        <v>5.4315476190476192E-2</v>
      </c>
      <c r="AN156" s="334">
        <f t="shared" si="93"/>
        <v>9.3811557581430657E-2</v>
      </c>
      <c r="AO156" s="77">
        <f t="shared" si="94"/>
        <v>6.8608281019519061E-5</v>
      </c>
      <c r="AP156" s="77">
        <f t="shared" si="95"/>
        <v>2.2619852382474133E-3</v>
      </c>
    </row>
    <row r="157" spans="1:42">
      <c r="B157" s="653" t="s">
        <v>608</v>
      </c>
      <c r="C157" s="654" t="s">
        <v>303</v>
      </c>
      <c r="D157" s="655">
        <v>790</v>
      </c>
      <c r="E157" s="656">
        <v>6</v>
      </c>
      <c r="F157" s="657">
        <v>16</v>
      </c>
      <c r="G157" s="658">
        <v>595</v>
      </c>
      <c r="H157" s="357">
        <f t="shared" si="72"/>
        <v>636.65000000000009</v>
      </c>
      <c r="I157" s="504">
        <f t="shared" si="73"/>
        <v>324.69150000000008</v>
      </c>
      <c r="J157" s="659">
        <f t="shared" si="74"/>
        <v>303.45</v>
      </c>
      <c r="K157" s="645"/>
      <c r="L157" s="646">
        <v>8.2799999999999994</v>
      </c>
      <c r="M157" s="647">
        <f t="shared" si="75"/>
        <v>8.2799999999999994</v>
      </c>
      <c r="N157" s="581"/>
      <c r="O157" s="660">
        <v>8.2799999999999994</v>
      </c>
      <c r="P157" s="661"/>
      <c r="Q157" s="650">
        <f t="shared" si="76"/>
        <v>389.43323999999996</v>
      </c>
      <c r="S157" s="662">
        <f t="shared" si="77"/>
        <v>-0.283352249134948</v>
      </c>
      <c r="T157" s="260">
        <f t="shared" si="78"/>
        <v>-0.19939462535976415</v>
      </c>
      <c r="U157" s="238">
        <f t="shared" si="79"/>
        <v>6.8999999999999995</v>
      </c>
      <c r="V157" s="262">
        <f t="shared" si="80"/>
        <v>8.2799999999999994</v>
      </c>
      <c r="W157" s="262">
        <f t="shared" si="81"/>
        <v>389.43323999999996</v>
      </c>
      <c r="X157" s="240">
        <f t="shared" si="82"/>
        <v>443</v>
      </c>
      <c r="Y157" s="262">
        <f t="shared" si="83"/>
        <v>426.36</v>
      </c>
      <c r="Z157" s="263">
        <f t="shared" si="84"/>
        <v>836</v>
      </c>
      <c r="AA157" s="241">
        <f t="shared" si="85"/>
        <v>0.12091819413092561</v>
      </c>
      <c r="AB157" s="241">
        <f t="shared" si="86"/>
        <v>8.6609344216155501E-2</v>
      </c>
      <c r="AC157" s="266"/>
      <c r="AD157" s="266"/>
      <c r="AE157" s="262"/>
      <c r="AF157" s="239">
        <f t="shared" si="87"/>
        <v>9.4090909090909083</v>
      </c>
      <c r="AG157" s="1869">
        <v>17.75</v>
      </c>
      <c r="AH157" s="267">
        <f t="shared" si="88"/>
        <v>0.12</v>
      </c>
      <c r="AI157" s="334">
        <f t="shared" si="89"/>
        <v>7.0944419340262091E-2</v>
      </c>
      <c r="AJ157" s="431">
        <f>VLOOKUP($B157,[1]Статистика!$B:$D,3,FALSE)</f>
        <v>157</v>
      </c>
      <c r="AK157" s="663">
        <f t="shared" si="90"/>
        <v>-368.34658978546696</v>
      </c>
      <c r="AL157" s="664">
        <f t="shared" si="91"/>
        <v>0.13469517698107772</v>
      </c>
      <c r="AM157" s="334">
        <f t="shared" si="92"/>
        <v>5.8407738095238096E-2</v>
      </c>
      <c r="AN157" s="334">
        <f t="shared" si="93"/>
        <v>0.13177487752715569</v>
      </c>
      <c r="AO157" s="77">
        <f t="shared" si="94"/>
        <v>7.3777398082633503E-5</v>
      </c>
      <c r="AP157" s="77">
        <f t="shared" si="95"/>
        <v>3.17735719801425E-3</v>
      </c>
    </row>
    <row r="158" spans="1:42" ht="15.75" thickBot="1">
      <c r="B158" s="666" t="s">
        <v>1153</v>
      </c>
      <c r="C158" s="667" t="s">
        <v>305</v>
      </c>
      <c r="D158" s="668">
        <v>1320</v>
      </c>
      <c r="E158" s="669">
        <v>6</v>
      </c>
      <c r="F158" s="670">
        <v>12</v>
      </c>
      <c r="G158" s="671">
        <v>993</v>
      </c>
      <c r="H158" s="444">
        <f t="shared" si="72"/>
        <v>1062.51</v>
      </c>
      <c r="I158" s="504">
        <f t="shared" si="73"/>
        <v>541.88009999999997</v>
      </c>
      <c r="J158" s="659">
        <f t="shared" si="74"/>
        <v>506.43</v>
      </c>
      <c r="K158" s="645"/>
      <c r="L158" s="646">
        <v>13.83</v>
      </c>
      <c r="M158" s="647">
        <f t="shared" si="75"/>
        <v>13.83</v>
      </c>
      <c r="N158" s="581"/>
      <c r="O158" s="672">
        <v>13.83</v>
      </c>
      <c r="P158" s="673"/>
      <c r="Q158" s="650">
        <f t="shared" si="76"/>
        <v>650.46639000000005</v>
      </c>
      <c r="S158" s="674">
        <f t="shared" si="77"/>
        <v>-0.28441520052129621</v>
      </c>
      <c r="T158" s="287">
        <f t="shared" si="78"/>
        <v>-0.20038803787037038</v>
      </c>
      <c r="U158" s="238">
        <f t="shared" si="79"/>
        <v>11.525</v>
      </c>
      <c r="V158" s="289">
        <f t="shared" si="80"/>
        <v>13.83</v>
      </c>
      <c r="W158" s="289">
        <f t="shared" si="81"/>
        <v>650.46639000000005</v>
      </c>
      <c r="X158" s="240">
        <f t="shared" si="82"/>
        <v>739</v>
      </c>
      <c r="Y158" s="289">
        <f t="shared" si="83"/>
        <v>710.94</v>
      </c>
      <c r="Z158" s="290">
        <f t="shared" si="84"/>
        <v>1394</v>
      </c>
      <c r="AA158" s="241">
        <f t="shared" si="85"/>
        <v>0.11980190798376178</v>
      </c>
      <c r="AB158" s="241">
        <f t="shared" si="86"/>
        <v>8.5061481981601822E-2</v>
      </c>
      <c r="AC158" s="294"/>
      <c r="AD158" s="294"/>
      <c r="AE158" s="289"/>
      <c r="AF158" s="239">
        <f t="shared" si="87"/>
        <v>15.715909090909092</v>
      </c>
      <c r="AG158" s="1870">
        <v>29.65</v>
      </c>
      <c r="AH158" s="295">
        <f t="shared" si="88"/>
        <v>0.12000000000000004</v>
      </c>
      <c r="AI158" s="334">
        <f t="shared" si="89"/>
        <v>8.8567555354722091E-2</v>
      </c>
      <c r="AJ158" s="431">
        <f>VLOOKUP($B158,[1]Статистика!$B:$D,3,FALSE)</f>
        <v>196</v>
      </c>
      <c r="AK158" s="663">
        <f t="shared" si="90"/>
        <v>-770.95859574906717</v>
      </c>
      <c r="AL158" s="664">
        <f t="shared" si="91"/>
        <v>0.2819203635358345</v>
      </c>
      <c r="AM158" s="334">
        <f t="shared" si="92"/>
        <v>7.2916666666666671E-2</v>
      </c>
      <c r="AN158" s="334">
        <f t="shared" si="93"/>
        <v>0.27580810397216166</v>
      </c>
      <c r="AO158" s="77">
        <f t="shared" si="94"/>
        <v>9.2104267670039275E-5</v>
      </c>
      <c r="AP158" s="77">
        <f t="shared" si="95"/>
        <v>6.6502878308197814E-3</v>
      </c>
    </row>
    <row r="159" spans="1:42">
      <c r="A159" s="187"/>
      <c r="J159" s="532"/>
      <c r="K159" s="533"/>
      <c r="Q159" s="17"/>
      <c r="R159" s="364"/>
      <c r="S159" s="675"/>
      <c r="AI159" s="512">
        <f>S153*AI153+S154*AI154+S155*AI155+S156*AI156+S157*AI157+S158*AI158</f>
        <v>-0.2737287119234304</v>
      </c>
      <c r="AJ159" s="513">
        <f>SUM(AJ153:AJ158)</f>
        <v>2213</v>
      </c>
      <c r="AK159" s="514">
        <f>SUM(AK153:AK158)</f>
        <v>-2734.6679965921358</v>
      </c>
      <c r="AM159" s="307">
        <f>SUM(AM153:AM158)</f>
        <v>0.82328869047619047</v>
      </c>
      <c r="AN159" s="307">
        <f>SUM(AN153:AN158)</f>
        <v>0.97831919806354861</v>
      </c>
      <c r="AO159" s="308">
        <f>SUM(AO153:AO158)</f>
        <v>1.0399323691520251E-3</v>
      </c>
      <c r="AP159" s="308">
        <f>SUM(AP153:AP158)</f>
        <v>2.3589242534353051E-2</v>
      </c>
    </row>
    <row r="160" spans="1:42" ht="18.75">
      <c r="A160" s="2326" t="s">
        <v>1154</v>
      </c>
      <c r="B160" s="2326"/>
      <c r="C160" s="2326"/>
      <c r="J160" s="532"/>
      <c r="K160" s="533"/>
      <c r="O160" s="676"/>
      <c r="P160" s="676"/>
      <c r="Q160" s="17"/>
      <c r="AO160" s="13"/>
      <c r="AP160" s="13"/>
    </row>
    <row r="161" spans="1:42">
      <c r="A161" s="156" t="s">
        <v>1</v>
      </c>
      <c r="B161" s="156"/>
      <c r="E161" s="157"/>
      <c r="F161" s="158" t="s">
        <v>1077</v>
      </c>
      <c r="G161" s="158"/>
      <c r="H161" s="159"/>
      <c r="I161" s="160"/>
      <c r="J161" s="541"/>
      <c r="K161" s="533"/>
      <c r="Q161" s="17"/>
      <c r="AO161" s="13"/>
      <c r="AP161" s="13"/>
    </row>
    <row r="162" spans="1:42" ht="52.5" customHeight="1" thickBot="1">
      <c r="A162" s="2281" t="s">
        <v>1155</v>
      </c>
      <c r="B162" s="2281"/>
      <c r="C162" s="2281"/>
      <c r="D162" s="2281"/>
      <c r="E162" s="2281"/>
      <c r="F162" s="2281"/>
      <c r="G162" s="2281"/>
      <c r="H162" s="2281"/>
      <c r="I162" s="2281"/>
      <c r="J162" s="2281"/>
      <c r="K162" s="533"/>
      <c r="O162" s="2330" t="s">
        <v>1156</v>
      </c>
      <c r="P162" s="2330"/>
      <c r="Q162" s="2330"/>
      <c r="AO162" s="13"/>
      <c r="AP162" s="13"/>
    </row>
    <row r="163" spans="1:42">
      <c r="A163" s="2281"/>
      <c r="B163" s="2281"/>
      <c r="C163" s="2281"/>
      <c r="D163" s="2281"/>
      <c r="E163" s="2281"/>
      <c r="F163" s="2281"/>
      <c r="G163" s="2281"/>
      <c r="H163" s="2281"/>
      <c r="I163" s="2281"/>
      <c r="J163" s="2281"/>
      <c r="K163" s="533"/>
      <c r="O163" s="677">
        <v>1.77</v>
      </c>
      <c r="P163" s="678"/>
      <c r="Q163" s="679">
        <f t="shared" ref="Q163:Q168" si="96">O163*1.2</f>
        <v>2.1240000000000001</v>
      </c>
      <c r="AO163" s="13"/>
      <c r="AP163" s="13"/>
    </row>
    <row r="164" spans="1:42">
      <c r="A164" s="156" t="s">
        <v>2</v>
      </c>
      <c r="B164" s="156"/>
      <c r="E164" s="157"/>
      <c r="J164" s="532"/>
      <c r="K164" s="533"/>
      <c r="O164" s="680">
        <v>2.33</v>
      </c>
      <c r="P164" s="678"/>
      <c r="Q164" s="679">
        <f t="shared" si="96"/>
        <v>2.7959999999999998</v>
      </c>
      <c r="AO164" s="13"/>
      <c r="AP164" s="13"/>
    </row>
    <row r="165" spans="1:42">
      <c r="A165" s="625" t="s">
        <v>1157</v>
      </c>
      <c r="B165" s="625"/>
      <c r="C165" s="625"/>
      <c r="D165" s="625"/>
      <c r="E165" s="625"/>
      <c r="F165" s="625"/>
      <c r="G165" s="625"/>
      <c r="H165" s="681"/>
      <c r="J165" s="682"/>
      <c r="K165" s="533"/>
      <c r="O165" s="680">
        <v>3.53</v>
      </c>
      <c r="P165" s="678"/>
      <c r="Q165" s="679">
        <f t="shared" si="96"/>
        <v>4.2359999999999998</v>
      </c>
      <c r="AO165" s="13"/>
      <c r="AP165" s="13"/>
    </row>
    <row r="166" spans="1:42">
      <c r="A166" s="156" t="s">
        <v>5</v>
      </c>
      <c r="B166" s="156"/>
      <c r="E166" s="157"/>
      <c r="J166" s="532"/>
      <c r="K166" s="533"/>
      <c r="O166" s="680">
        <v>5.1100000000000003</v>
      </c>
      <c r="P166" s="678"/>
      <c r="Q166" s="679">
        <f t="shared" si="96"/>
        <v>6.1320000000000006</v>
      </c>
      <c r="AO166" s="13"/>
      <c r="AP166" s="13"/>
    </row>
    <row r="167" spans="1:42">
      <c r="A167" s="162" t="s">
        <v>607</v>
      </c>
      <c r="B167" s="162"/>
      <c r="E167" s="157"/>
      <c r="J167" s="532"/>
      <c r="K167" s="533"/>
      <c r="O167" s="680">
        <v>6.95</v>
      </c>
      <c r="P167" s="678"/>
      <c r="Q167" s="679">
        <f t="shared" si="96"/>
        <v>8.34</v>
      </c>
      <c r="AO167" s="13"/>
      <c r="AP167" s="13"/>
    </row>
    <row r="168" spans="1:42" ht="15.75" thickBot="1">
      <c r="A168" s="162" t="s">
        <v>1158</v>
      </c>
      <c r="B168" s="162"/>
      <c r="E168" s="157"/>
      <c r="J168" s="532"/>
      <c r="K168" s="533"/>
      <c r="O168" s="683">
        <v>10.96</v>
      </c>
      <c r="P168" s="678"/>
      <c r="Q168" s="679">
        <f t="shared" si="96"/>
        <v>13.152000000000001</v>
      </c>
      <c r="AO168" s="13"/>
      <c r="AP168" s="13"/>
    </row>
    <row r="169" spans="1:42">
      <c r="A169" s="625" t="s">
        <v>1159</v>
      </c>
      <c r="B169" s="625"/>
      <c r="C169" s="625"/>
      <c r="E169" s="157"/>
      <c r="J169" s="532"/>
      <c r="K169" s="533"/>
      <c r="Q169" s="17"/>
      <c r="AO169" s="13"/>
      <c r="AP169" s="13"/>
    </row>
    <row r="170" spans="1:42" ht="15.75" thickBot="1">
      <c r="A170" s="148" t="s">
        <v>1160</v>
      </c>
      <c r="E170" s="157"/>
      <c r="J170" s="532"/>
      <c r="K170" s="2316" t="s">
        <v>1161</v>
      </c>
      <c r="L170" s="2316"/>
      <c r="M170" s="2316"/>
      <c r="N170" s="2316"/>
      <c r="O170" s="2316"/>
      <c r="P170" s="1852"/>
      <c r="Q170" s="17"/>
      <c r="T170" s="1851"/>
      <c r="U170" s="627"/>
      <c r="V170" s="627"/>
      <c r="W170" s="627"/>
      <c r="X170" s="627"/>
      <c r="Y170" s="627"/>
      <c r="Z170" s="627"/>
      <c r="AA170" s="614">
        <v>0.12</v>
      </c>
      <c r="AB170" s="628">
        <v>0.09</v>
      </c>
      <c r="AC170" s="1851"/>
      <c r="AD170" s="1851"/>
      <c r="AE170" s="188"/>
      <c r="AF170" s="188"/>
      <c r="AG170" s="1866"/>
      <c r="AH170" s="1851"/>
      <c r="AO170" s="13"/>
      <c r="AP170" s="13"/>
    </row>
    <row r="171" spans="1:42" ht="108.75" thickBot="1">
      <c r="A171" s="147" t="s">
        <v>793</v>
      </c>
      <c r="B171" s="369" t="s">
        <v>10</v>
      </c>
      <c r="C171" s="370" t="s">
        <v>11</v>
      </c>
      <c r="D171" s="370" t="s">
        <v>12</v>
      </c>
      <c r="E171" s="370" t="s">
        <v>13</v>
      </c>
      <c r="F171" s="370" t="s">
        <v>14</v>
      </c>
      <c r="G171" s="371" t="s">
        <v>15</v>
      </c>
      <c r="H171" s="372" t="s">
        <v>1090</v>
      </c>
      <c r="I171" s="372">
        <f>$C$6</f>
        <v>0.49</v>
      </c>
      <c r="J171" s="684">
        <f>$C$6</f>
        <v>0.49</v>
      </c>
      <c r="K171" s="685" t="s">
        <v>15</v>
      </c>
      <c r="L171" s="500" t="s">
        <v>12</v>
      </c>
      <c r="M171" s="316" t="s">
        <v>1091</v>
      </c>
      <c r="N171" s="549" t="s">
        <v>993</v>
      </c>
      <c r="O171" s="317" t="s">
        <v>1092</v>
      </c>
      <c r="P171" s="374" t="s">
        <v>1092</v>
      </c>
      <c r="Q171" s="200" t="s">
        <v>1093</v>
      </c>
      <c r="R171" s="201" t="s">
        <v>1094</v>
      </c>
      <c r="S171" s="350" t="s">
        <v>1095</v>
      </c>
      <c r="T171" s="203" t="s">
        <v>1095</v>
      </c>
      <c r="U171" s="204" t="s">
        <v>1096</v>
      </c>
      <c r="V171" s="205" t="s">
        <v>1093</v>
      </c>
      <c r="W171" s="206" t="s">
        <v>1094</v>
      </c>
      <c r="X171" s="207" t="s">
        <v>1097</v>
      </c>
      <c r="Y171" s="208">
        <f>$X$33</f>
        <v>0.49</v>
      </c>
      <c r="Z171" s="207" t="s">
        <v>1098</v>
      </c>
      <c r="AA171" s="209" t="s">
        <v>1099</v>
      </c>
      <c r="AB171" s="209" t="s">
        <v>1100</v>
      </c>
      <c r="AC171" s="210" t="s">
        <v>1092</v>
      </c>
      <c r="AD171" s="211" t="s">
        <v>1101</v>
      </c>
      <c r="AE171" s="212" t="s">
        <v>1102</v>
      </c>
      <c r="AF171" s="208" t="s">
        <v>1103</v>
      </c>
      <c r="AG171" s="1867" t="s">
        <v>1104</v>
      </c>
      <c r="AH171" s="213" t="s">
        <v>1116</v>
      </c>
      <c r="AI171" s="218" t="s">
        <v>1106</v>
      </c>
      <c r="AJ171" s="319" t="s">
        <v>1107</v>
      </c>
      <c r="AK171" s="320" t="s">
        <v>1108</v>
      </c>
      <c r="AL171" s="219" t="s">
        <v>1109</v>
      </c>
      <c r="AM171" s="219" t="s">
        <v>1147</v>
      </c>
      <c r="AN171" s="219" t="s">
        <v>1148</v>
      </c>
      <c r="AO171" s="220" t="s">
        <v>1112</v>
      </c>
      <c r="AP171" s="221" t="s">
        <v>1113</v>
      </c>
    </row>
    <row r="172" spans="1:42" ht="15.75">
      <c r="B172" s="686" t="s">
        <v>1162</v>
      </c>
      <c r="C172" s="376" t="s">
        <v>190</v>
      </c>
      <c r="D172" s="687">
        <v>225</v>
      </c>
      <c r="E172" s="376">
        <v>6</v>
      </c>
      <c r="F172" s="688">
        <v>72</v>
      </c>
      <c r="G172" s="689">
        <v>190</v>
      </c>
      <c r="H172" s="504">
        <f t="shared" ref="H172:H177" si="97">G172*(1+$H$33)</f>
        <v>203.3</v>
      </c>
      <c r="I172" s="504">
        <f t="shared" ref="I172:I177" si="98">H172-H172*$J$152</f>
        <v>103.68300000000001</v>
      </c>
      <c r="J172" s="690">
        <f t="shared" ref="J172:J177" si="99">G172-G172*$J$171</f>
        <v>96.9</v>
      </c>
      <c r="K172" s="691">
        <v>227</v>
      </c>
      <c r="L172" s="692">
        <v>180</v>
      </c>
      <c r="M172" s="693">
        <f t="shared" ref="M172:M177" si="100">L172/D172*100%</f>
        <v>0.8</v>
      </c>
      <c r="N172" s="694">
        <f>K172*0.5</f>
        <v>113.5</v>
      </c>
      <c r="O172" s="695">
        <f t="shared" ref="O172:O177" si="101">((N172/J172)-1)*100%</f>
        <v>0.17131062951496379</v>
      </c>
      <c r="P172" s="696">
        <f t="shared" ref="P172:P177" si="102">((N172/I172)-1)*100%</f>
        <v>9.4682831322395966E-2</v>
      </c>
      <c r="Q172" s="697">
        <v>2.37</v>
      </c>
      <c r="R172" s="698">
        <f t="shared" ref="R172:R177" si="103">Q163*$R$33</f>
        <v>99.898092000000005</v>
      </c>
      <c r="S172" s="259">
        <f t="shared" ref="S172:S177" si="104">((J172-R172)/J172)*100%</f>
        <v>-3.094006191950464E-2</v>
      </c>
      <c r="T172" s="237">
        <f t="shared" ref="T172:T177" si="105">((I172-R172)/I172)*100%</f>
        <v>3.6504615028500345E-2</v>
      </c>
      <c r="U172" s="238">
        <v>1.91</v>
      </c>
      <c r="V172" s="239">
        <f t="shared" ref="V172:V177" si="106">U172*$X$31</f>
        <v>2.2919999999999998</v>
      </c>
      <c r="W172" s="239">
        <f t="shared" ref="W172:W177" si="107">V172*$R$33</f>
        <v>107.79963599999999</v>
      </c>
      <c r="X172" s="240">
        <f>(ROUND(W172/(1-$AB$170),0))</f>
        <v>118</v>
      </c>
      <c r="Y172" s="239">
        <f t="shared" ref="Y172:Y177" si="108">Z172*(1-$X$33)</f>
        <v>113.73</v>
      </c>
      <c r="Z172" s="240">
        <f t="shared" ref="Z172:Z177" si="109">ROUND(X172/(1-$X$32),0)</f>
        <v>223</v>
      </c>
      <c r="AA172" s="241">
        <f t="shared" ref="AA172:AA177" si="110">((X172-W172)/X172)*100%</f>
        <v>8.6443762711864477E-2</v>
      </c>
      <c r="AB172" s="241">
        <f t="shared" ref="AB172:AB177" si="111">((Y172-W172)/Y172)*100%</f>
        <v>5.2144236349248321E-2</v>
      </c>
      <c r="AC172" s="242">
        <f t="shared" ref="AC172:AC177" si="112">((N172/Y172)-1)*100%</f>
        <v>-2.0223335971160106E-3</v>
      </c>
      <c r="AD172" s="243">
        <f t="shared" ref="AD172:AD177" si="113">((N172*0.96-W172)/(N172*0.96))*100%</f>
        <v>1.064944933920706E-2</v>
      </c>
      <c r="AE172" s="238">
        <f t="shared" ref="AE172:AE177" si="114">N172/$R$33</f>
        <v>2.4131992430846427</v>
      </c>
      <c r="AF172" s="239">
        <f>(V172/(1-$AB$170))</f>
        <v>2.5186813186813182</v>
      </c>
      <c r="AG172" s="1868">
        <v>4.75</v>
      </c>
      <c r="AH172" s="244">
        <f t="shared" ref="AH172:AH177" si="115">((AF172-V172)/AF172)*100%</f>
        <v>8.9999999999999886E-2</v>
      </c>
      <c r="AI172" s="334">
        <f t="shared" ref="AI172:AI177" si="116">AJ172/$AJ$178</f>
        <v>0.2336842105263158</v>
      </c>
      <c r="AJ172" s="431">
        <f>VLOOKUP($B172,[1]Статистика!$B:$D,3,FALSE)</f>
        <v>111</v>
      </c>
      <c r="AK172" s="432">
        <f t="shared" ref="AK172:AK177" si="117">AJ172*Q172*S172</f>
        <v>-8.1394020891640864</v>
      </c>
      <c r="AL172" s="334">
        <f t="shared" ref="AL172:AL177" si="118">AK172/$AK$178</f>
        <v>0.13430529314960499</v>
      </c>
      <c r="AM172" s="334">
        <f t="shared" ref="AM172:AM177" si="119">AJ172/$AJ$180</f>
        <v>4.1294642857142856E-2</v>
      </c>
      <c r="AN172" s="334">
        <f t="shared" ref="AN172:AN177" si="120">AK172/$AK$180</f>
        <v>2.9118464597936411E-3</v>
      </c>
      <c r="AO172" s="77">
        <f t="shared" ref="AO172:AO177" si="121">AJ172/$AJ$23</f>
        <v>5.2161090364154897E-5</v>
      </c>
      <c r="AP172" s="77">
        <f t="shared" ref="AP172:AP177" si="122">AK172/$AK$23</f>
        <v>7.0210471693521584E-5</v>
      </c>
    </row>
    <row r="173" spans="1:42" ht="15.75">
      <c r="B173" s="686" t="s">
        <v>1163</v>
      </c>
      <c r="C173" s="250" t="s">
        <v>192</v>
      </c>
      <c r="D173" s="687">
        <v>295</v>
      </c>
      <c r="E173" s="250">
        <v>6</v>
      </c>
      <c r="F173" s="699">
        <v>60</v>
      </c>
      <c r="G173" s="328">
        <v>248</v>
      </c>
      <c r="H173" s="504">
        <f t="shared" si="97"/>
        <v>265.36</v>
      </c>
      <c r="I173" s="504">
        <f t="shared" si="98"/>
        <v>135.33360000000002</v>
      </c>
      <c r="J173" s="690">
        <f t="shared" si="99"/>
        <v>126.48</v>
      </c>
      <c r="K173" s="321">
        <v>320</v>
      </c>
      <c r="L173" s="700">
        <v>250</v>
      </c>
      <c r="M173" s="701">
        <f t="shared" si="100"/>
        <v>0.84745762711864403</v>
      </c>
      <c r="N173" s="694">
        <f>K173*0.5</f>
        <v>160</v>
      </c>
      <c r="O173" s="386">
        <f t="shared" si="101"/>
        <v>0.26502213788741291</v>
      </c>
      <c r="P173" s="696">
        <f t="shared" si="102"/>
        <v>0.18226368026861017</v>
      </c>
      <c r="Q173" s="702">
        <v>3.1</v>
      </c>
      <c r="R173" s="698">
        <f t="shared" si="103"/>
        <v>131.504268</v>
      </c>
      <c r="S173" s="259">
        <f t="shared" si="104"/>
        <v>-3.9723814041745666E-2</v>
      </c>
      <c r="T173" s="260">
        <f t="shared" si="105"/>
        <v>2.8295500895564898E-2</v>
      </c>
      <c r="U173" s="261">
        <v>2.504</v>
      </c>
      <c r="V173" s="239">
        <f t="shared" si="106"/>
        <v>3.0047999999999999</v>
      </c>
      <c r="W173" s="262">
        <f t="shared" si="107"/>
        <v>141.32475840000001</v>
      </c>
      <c r="X173" s="240">
        <f>(ROUND(W173/(1-$AA$170),0))</f>
        <v>161</v>
      </c>
      <c r="Y173" s="239">
        <f t="shared" si="108"/>
        <v>155.04</v>
      </c>
      <c r="Z173" s="263">
        <f t="shared" si="109"/>
        <v>304</v>
      </c>
      <c r="AA173" s="264">
        <f t="shared" si="110"/>
        <v>0.12220646956521734</v>
      </c>
      <c r="AB173" s="241">
        <f t="shared" si="111"/>
        <v>8.8462600619194948E-2</v>
      </c>
      <c r="AC173" s="242">
        <f t="shared" si="112"/>
        <v>3.1991744066047545E-2</v>
      </c>
      <c r="AD173" s="266">
        <f t="shared" si="113"/>
        <v>7.9916937499999924E-2</v>
      </c>
      <c r="AE173" s="261">
        <f t="shared" si="114"/>
        <v>3.4018667743924476</v>
      </c>
      <c r="AF173" s="262">
        <f>(V173/(1-$AA$170))</f>
        <v>3.4145454545454546</v>
      </c>
      <c r="AG173" s="1869">
        <v>6.44</v>
      </c>
      <c r="AH173" s="267">
        <f t="shared" si="115"/>
        <v>0.12000000000000002</v>
      </c>
      <c r="AI173" s="334">
        <f t="shared" si="116"/>
        <v>0.30736842105263157</v>
      </c>
      <c r="AJ173" s="431">
        <f>VLOOKUP($B173,[1]Статистика!$B:$D,3,FALSE)</f>
        <v>146</v>
      </c>
      <c r="AK173" s="432">
        <f t="shared" si="117"/>
        <v>-17.978998235294089</v>
      </c>
      <c r="AL173" s="334">
        <f t="shared" si="118"/>
        <v>0.29666486580654838</v>
      </c>
      <c r="AM173" s="334">
        <f t="shared" si="119"/>
        <v>5.4315476190476192E-2</v>
      </c>
      <c r="AN173" s="334">
        <f t="shared" si="120"/>
        <v>6.4319321970557368E-3</v>
      </c>
      <c r="AO173" s="77">
        <f t="shared" si="121"/>
        <v>6.8608281019519061E-5</v>
      </c>
      <c r="AP173" s="77">
        <f t="shared" si="122"/>
        <v>1.5508681508160131E-4</v>
      </c>
    </row>
    <row r="174" spans="1:42" ht="15.75">
      <c r="B174" s="686" t="s">
        <v>1164</v>
      </c>
      <c r="C174" s="250" t="s">
        <v>194</v>
      </c>
      <c r="D174" s="687">
        <v>450</v>
      </c>
      <c r="E174" s="250">
        <v>6</v>
      </c>
      <c r="F174" s="699">
        <v>48</v>
      </c>
      <c r="G174" s="328">
        <v>380</v>
      </c>
      <c r="H174" s="504">
        <f t="shared" si="97"/>
        <v>406.6</v>
      </c>
      <c r="I174" s="504">
        <f t="shared" si="98"/>
        <v>207.36600000000001</v>
      </c>
      <c r="J174" s="690">
        <f t="shared" si="99"/>
        <v>193.8</v>
      </c>
      <c r="K174" s="321">
        <v>481</v>
      </c>
      <c r="L174" s="700">
        <v>361</v>
      </c>
      <c r="M174" s="701">
        <f t="shared" si="100"/>
        <v>0.80222222222222217</v>
      </c>
      <c r="N174" s="694">
        <f>K174*0.5</f>
        <v>240.5</v>
      </c>
      <c r="O174" s="386">
        <f t="shared" si="101"/>
        <v>0.24097007223942191</v>
      </c>
      <c r="P174" s="696">
        <f t="shared" si="102"/>
        <v>0.15978511424245045</v>
      </c>
      <c r="Q174" s="703">
        <v>4.7300000000000004</v>
      </c>
      <c r="R174" s="698">
        <f t="shared" si="103"/>
        <v>199.23178799999999</v>
      </c>
      <c r="S174" s="259">
        <f t="shared" si="104"/>
        <v>-2.802780185758505E-2</v>
      </c>
      <c r="T174" s="260">
        <f t="shared" si="105"/>
        <v>3.9226353404126127E-2</v>
      </c>
      <c r="U174" s="261">
        <v>3.82</v>
      </c>
      <c r="V174" s="239">
        <f t="shared" si="106"/>
        <v>4.5839999999999996</v>
      </c>
      <c r="W174" s="262">
        <f t="shared" si="107"/>
        <v>215.59927199999998</v>
      </c>
      <c r="X174" s="240">
        <f>(ROUND(W174/(1-$AA$170),0))</f>
        <v>245</v>
      </c>
      <c r="Y174" s="239">
        <f t="shared" si="108"/>
        <v>235.62</v>
      </c>
      <c r="Z174" s="263">
        <f t="shared" si="109"/>
        <v>462</v>
      </c>
      <c r="AA174" s="264">
        <f t="shared" si="110"/>
        <v>0.12000297142857148</v>
      </c>
      <c r="AB174" s="241">
        <f t="shared" si="111"/>
        <v>8.4970409982174769E-2</v>
      </c>
      <c r="AC174" s="242">
        <f t="shared" si="112"/>
        <v>2.0711314828961935E-2</v>
      </c>
      <c r="AD174" s="266">
        <f t="shared" si="113"/>
        <v>6.618471933471938E-2</v>
      </c>
      <c r="AE174" s="261">
        <f t="shared" si="114"/>
        <v>5.1134309952586481</v>
      </c>
      <c r="AF174" s="262">
        <f>(V174/(1-$AA$170))</f>
        <v>5.209090909090909</v>
      </c>
      <c r="AG174" s="1869">
        <v>9.83</v>
      </c>
      <c r="AH174" s="267">
        <f t="shared" si="115"/>
        <v>0.12000000000000005</v>
      </c>
      <c r="AI174" s="50">
        <f t="shared" si="116"/>
        <v>0.36210526315789476</v>
      </c>
      <c r="AJ174" s="354">
        <f>VLOOKUP($B174,[1]Статистика!$B:$D,3,FALSE)</f>
        <v>172</v>
      </c>
      <c r="AK174" s="355">
        <f t="shared" si="117"/>
        <v>-22.802298479256894</v>
      </c>
      <c r="AL174" s="50">
        <f t="shared" si="118"/>
        <v>0.37625237679539475</v>
      </c>
      <c r="AM174" s="50">
        <f t="shared" si="119"/>
        <v>6.3988095238095233E-2</v>
      </c>
      <c r="AN174" s="50">
        <f t="shared" si="120"/>
        <v>8.1574532594200725E-3</v>
      </c>
      <c r="AO174" s="77">
        <f t="shared" si="121"/>
        <v>8.0826194077789567E-5</v>
      </c>
      <c r="AP174" s="77">
        <f t="shared" si="122"/>
        <v>1.9669259662898831E-4</v>
      </c>
    </row>
    <row r="175" spans="1:42" ht="15.75">
      <c r="B175" s="686" t="s">
        <v>1165</v>
      </c>
      <c r="C175" s="250" t="s">
        <v>209</v>
      </c>
      <c r="D175" s="687">
        <v>650</v>
      </c>
      <c r="E175" s="250">
        <v>6</v>
      </c>
      <c r="F175" s="704">
        <v>24</v>
      </c>
      <c r="G175" s="328">
        <v>550</v>
      </c>
      <c r="H175" s="504">
        <f t="shared" si="97"/>
        <v>588.5</v>
      </c>
      <c r="I175" s="504">
        <f t="shared" si="98"/>
        <v>300.13499999999999</v>
      </c>
      <c r="J175" s="690">
        <f t="shared" si="99"/>
        <v>280.5</v>
      </c>
      <c r="K175" s="321">
        <v>827</v>
      </c>
      <c r="L175" s="705">
        <v>573</v>
      </c>
      <c r="M175" s="706">
        <f t="shared" si="100"/>
        <v>0.88153846153846149</v>
      </c>
      <c r="N175" s="707">
        <f>K175*0.55</f>
        <v>454.85</v>
      </c>
      <c r="O175" s="386">
        <f t="shared" si="101"/>
        <v>0.6215686274509804</v>
      </c>
      <c r="P175" s="696">
        <f t="shared" si="102"/>
        <v>0.51548469855231827</v>
      </c>
      <c r="Q175" s="702">
        <v>6.84</v>
      </c>
      <c r="R175" s="698">
        <f t="shared" si="103"/>
        <v>288.40635600000002</v>
      </c>
      <c r="S175" s="259">
        <f t="shared" si="104"/>
        <v>-2.818665240641717E-2</v>
      </c>
      <c r="T175" s="260">
        <f t="shared" si="105"/>
        <v>3.9077894947273643E-2</v>
      </c>
      <c r="U175" s="261">
        <v>5.5179999999999998</v>
      </c>
      <c r="V175" s="239">
        <f t="shared" si="106"/>
        <v>6.6215999999999999</v>
      </c>
      <c r="W175" s="262">
        <f t="shared" si="107"/>
        <v>311.43371280000002</v>
      </c>
      <c r="X175" s="240">
        <f>(ROUND(W175/(1-$AA$170),0))</f>
        <v>354</v>
      </c>
      <c r="Y175" s="239">
        <f t="shared" si="108"/>
        <v>340.68</v>
      </c>
      <c r="Z175" s="263">
        <f t="shared" si="109"/>
        <v>668</v>
      </c>
      <c r="AA175" s="264">
        <f t="shared" si="110"/>
        <v>0.12024374915254231</v>
      </c>
      <c r="AB175" s="241">
        <f t="shared" si="111"/>
        <v>8.5846798168369098E-2</v>
      </c>
      <c r="AC175" s="242">
        <f t="shared" si="112"/>
        <v>0.3351238699072443</v>
      </c>
      <c r="AD175" s="266">
        <f t="shared" si="113"/>
        <v>0.28677560184676265</v>
      </c>
      <c r="AE175" s="261">
        <f t="shared" si="114"/>
        <v>9.6708693895775308</v>
      </c>
      <c r="AF175" s="262">
        <f>(V175/(1-$AA$170))</f>
        <v>7.5245454545454544</v>
      </c>
      <c r="AG175" s="1869">
        <v>14.2</v>
      </c>
      <c r="AH175" s="267">
        <f t="shared" si="115"/>
        <v>0.12</v>
      </c>
      <c r="AI175" s="334">
        <f t="shared" si="116"/>
        <v>5.894736842105263E-2</v>
      </c>
      <c r="AJ175" s="431">
        <f>VLOOKUP($B175,[1]Статистика!$B:$D,3,FALSE)</f>
        <v>28</v>
      </c>
      <c r="AK175" s="432">
        <f t="shared" si="117"/>
        <v>-5.398307668877016</v>
      </c>
      <c r="AL175" s="334">
        <f t="shared" si="118"/>
        <v>8.9075497934363354E-2</v>
      </c>
      <c r="AM175" s="334">
        <f t="shared" si="119"/>
        <v>1.0416666666666666E-2</v>
      </c>
      <c r="AN175" s="334">
        <f t="shared" si="120"/>
        <v>1.931228228105726E-3</v>
      </c>
      <c r="AO175" s="77">
        <f t="shared" si="121"/>
        <v>1.3157752524291326E-5</v>
      </c>
      <c r="AP175" s="77">
        <f t="shared" si="122"/>
        <v>4.6565794836845957E-5</v>
      </c>
    </row>
    <row r="176" spans="1:42" ht="15.75">
      <c r="B176" s="686" t="s">
        <v>1166</v>
      </c>
      <c r="C176" s="250" t="s">
        <v>303</v>
      </c>
      <c r="D176" s="687">
        <v>900</v>
      </c>
      <c r="E176" s="250">
        <v>6</v>
      </c>
      <c r="F176" s="704">
        <v>16</v>
      </c>
      <c r="G176" s="328">
        <v>760</v>
      </c>
      <c r="H176" s="504">
        <f t="shared" si="97"/>
        <v>813.2</v>
      </c>
      <c r="I176" s="504">
        <f t="shared" si="98"/>
        <v>414.73200000000003</v>
      </c>
      <c r="J176" s="690">
        <f t="shared" si="99"/>
        <v>387.6</v>
      </c>
      <c r="K176" s="321">
        <v>966</v>
      </c>
      <c r="L176" s="705">
        <v>720</v>
      </c>
      <c r="M176" s="706">
        <f t="shared" si="100"/>
        <v>0.8</v>
      </c>
      <c r="N176" s="707">
        <f>K176*0.55</f>
        <v>531.30000000000007</v>
      </c>
      <c r="O176" s="386">
        <f t="shared" si="101"/>
        <v>0.37074303405572762</v>
      </c>
      <c r="P176" s="696">
        <f t="shared" si="102"/>
        <v>0.28106825612684827</v>
      </c>
      <c r="Q176" s="702">
        <v>9.4700000000000006</v>
      </c>
      <c r="R176" s="698">
        <f t="shared" si="103"/>
        <v>392.25522000000001</v>
      </c>
      <c r="S176" s="259">
        <f t="shared" si="104"/>
        <v>-1.2010371517027826E-2</v>
      </c>
      <c r="T176" s="260">
        <f t="shared" si="105"/>
        <v>5.4195914470067462E-2</v>
      </c>
      <c r="U176" s="261">
        <v>7.641</v>
      </c>
      <c r="V176" s="239">
        <f t="shared" si="106"/>
        <v>9.1692</v>
      </c>
      <c r="W176" s="262">
        <f t="shared" si="107"/>
        <v>431.2549836</v>
      </c>
      <c r="X176" s="240">
        <f>(ROUND(W176/(1-$AA$170),0))</f>
        <v>490</v>
      </c>
      <c r="Y176" s="239">
        <f t="shared" si="108"/>
        <v>471.75</v>
      </c>
      <c r="Z176" s="263">
        <f t="shared" si="109"/>
        <v>925</v>
      </c>
      <c r="AA176" s="264">
        <f t="shared" si="110"/>
        <v>0.11988778857142857</v>
      </c>
      <c r="AB176" s="241">
        <f t="shared" si="111"/>
        <v>8.5839992368839421E-2</v>
      </c>
      <c r="AC176" s="242">
        <f t="shared" si="112"/>
        <v>0.12623211446740878</v>
      </c>
      <c r="AD176" s="266">
        <f t="shared" si="113"/>
        <v>0.15448157114624514</v>
      </c>
      <c r="AE176" s="261">
        <f t="shared" si="114"/>
        <v>11.296323857716922</v>
      </c>
      <c r="AF176" s="262">
        <f>(V176/(1-$AA$170))</f>
        <v>10.419545454545455</v>
      </c>
      <c r="AG176" s="1869">
        <v>19.66</v>
      </c>
      <c r="AH176" s="267">
        <f t="shared" si="115"/>
        <v>0.12000000000000002</v>
      </c>
      <c r="AI176" s="334">
        <f t="shared" si="116"/>
        <v>2.736842105263158E-2</v>
      </c>
      <c r="AJ176" s="431">
        <f>VLOOKUP($B176,[1]Статистика!$B:$D,3,FALSE)</f>
        <v>13</v>
      </c>
      <c r="AK176" s="432">
        <f t="shared" si="117"/>
        <v>-1.4785968374612959</v>
      </c>
      <c r="AL176" s="334">
        <f t="shared" si="118"/>
        <v>2.4397784939226737E-2</v>
      </c>
      <c r="AM176" s="334">
        <f t="shared" si="119"/>
        <v>4.836309523809524E-3</v>
      </c>
      <c r="AN176" s="334">
        <f t="shared" si="120"/>
        <v>5.2896354295551412E-4</v>
      </c>
      <c r="AO176" s="77">
        <f t="shared" si="121"/>
        <v>6.1089565291352581E-6</v>
      </c>
      <c r="AP176" s="77">
        <f t="shared" si="122"/>
        <v>1.2754374371173054E-5</v>
      </c>
    </row>
    <row r="177" spans="1:42" ht="16.5" thickBot="1">
      <c r="B177" s="708" t="s">
        <v>1167</v>
      </c>
      <c r="C177" s="275" t="s">
        <v>305</v>
      </c>
      <c r="D177" s="709">
        <v>1350</v>
      </c>
      <c r="E177" s="275">
        <v>6</v>
      </c>
      <c r="F177" s="710">
        <v>12</v>
      </c>
      <c r="G177" s="339">
        <v>1136</v>
      </c>
      <c r="H177" s="711">
        <f t="shared" si="97"/>
        <v>1215.52</v>
      </c>
      <c r="I177" s="711">
        <f t="shared" si="98"/>
        <v>619.91520000000003</v>
      </c>
      <c r="J177" s="690">
        <f t="shared" si="99"/>
        <v>579.36</v>
      </c>
      <c r="K177" s="340">
        <v>1562</v>
      </c>
      <c r="L177" s="712">
        <v>1251</v>
      </c>
      <c r="M177" s="713">
        <f t="shared" si="100"/>
        <v>0.92666666666666664</v>
      </c>
      <c r="N177" s="714">
        <f>K177*0.55</f>
        <v>859.1</v>
      </c>
      <c r="O177" s="715">
        <f t="shared" si="101"/>
        <v>0.48284313725490202</v>
      </c>
      <c r="P177" s="696">
        <f t="shared" si="102"/>
        <v>0.38583470771486161</v>
      </c>
      <c r="Q177" s="716">
        <v>14.2</v>
      </c>
      <c r="R177" s="698">
        <f t="shared" si="103"/>
        <v>618.57801600000005</v>
      </c>
      <c r="S177" s="286">
        <f t="shared" si="104"/>
        <v>-6.7691963545981837E-2</v>
      </c>
      <c r="T177" s="287">
        <f t="shared" si="105"/>
        <v>2.1570434149702721E-3</v>
      </c>
      <c r="U177" s="288">
        <v>11.46</v>
      </c>
      <c r="V177" s="239">
        <f t="shared" si="106"/>
        <v>13.752000000000001</v>
      </c>
      <c r="W177" s="289">
        <f t="shared" si="107"/>
        <v>646.79781600000001</v>
      </c>
      <c r="X177" s="240">
        <f>(ROUND(W177/(1-$AA$170),0))</f>
        <v>735</v>
      </c>
      <c r="Y177" s="291">
        <f t="shared" si="108"/>
        <v>707.37</v>
      </c>
      <c r="Z177" s="290">
        <f t="shared" si="109"/>
        <v>1387</v>
      </c>
      <c r="AA177" s="717">
        <f t="shared" si="110"/>
        <v>0.12000297142857141</v>
      </c>
      <c r="AB177" s="718">
        <f t="shared" si="111"/>
        <v>8.5630128504177436E-2</v>
      </c>
      <c r="AC177" s="719">
        <f t="shared" si="112"/>
        <v>0.21449877716046761</v>
      </c>
      <c r="AD177" s="294">
        <f t="shared" si="113"/>
        <v>0.21575168781282736</v>
      </c>
      <c r="AE177" s="288">
        <f t="shared" si="114"/>
        <v>18.265898411753451</v>
      </c>
      <c r="AF177" s="262">
        <f>(V177/(1-$AA$170))</f>
        <v>15.627272727272729</v>
      </c>
      <c r="AG177" s="1870">
        <v>29.49</v>
      </c>
      <c r="AH177" s="295">
        <f t="shared" si="115"/>
        <v>0.12000000000000004</v>
      </c>
      <c r="AI177" s="334">
        <f t="shared" si="116"/>
        <v>1.0526315789473684E-2</v>
      </c>
      <c r="AJ177" s="431">
        <f>VLOOKUP($B177,[1]Статистика!$B:$D,3,FALSE)</f>
        <v>5</v>
      </c>
      <c r="AK177" s="432">
        <f t="shared" si="117"/>
        <v>-4.8061294117647106</v>
      </c>
      <c r="AL177" s="334">
        <f t="shared" si="118"/>
        <v>7.9304181374861824E-2</v>
      </c>
      <c r="AM177" s="334">
        <f t="shared" si="119"/>
        <v>1.8601190476190475E-3</v>
      </c>
      <c r="AN177" s="334">
        <f t="shared" si="120"/>
        <v>1.7193782491208049E-3</v>
      </c>
      <c r="AO177" s="77">
        <f t="shared" si="121"/>
        <v>2.3495986650520223E-6</v>
      </c>
      <c r="AP177" s="77">
        <f t="shared" si="122"/>
        <v>4.1457665971477122E-5</v>
      </c>
    </row>
    <row r="178" spans="1:42" ht="16.5" thickBot="1">
      <c r="B178" s="515"/>
      <c r="C178" s="413"/>
      <c r="D178" s="516"/>
      <c r="E178" s="413"/>
      <c r="F178" s="517"/>
      <c r="G178" s="720">
        <f>AVERAGE(S153:S158,S172:S177)</f>
        <v>-0.15635445087358432</v>
      </c>
      <c r="H178" s="721"/>
      <c r="I178" s="721"/>
      <c r="J178" s="520" t="s">
        <v>1133</v>
      </c>
      <c r="K178" s="722">
        <f>AVERAGE(O37:O42,O46:O51,O55:O57,O61:O63,O67:O69,O75:O80,O84:O86,O90:O91,O96,O101:O103,O108:O109,O114:O115,O128:O129,O135,O172:O177)</f>
        <v>0.27750267730627071</v>
      </c>
      <c r="L178" s="723" t="s">
        <v>1134</v>
      </c>
      <c r="M178" s="724">
        <f>AVERAGE(M37:M42,M46:M51,M55:M57,M61:M63,M67:M69,M75:M80,M84:M86,M90:M91,M96,M101:M103,M108:M109,M114:M115,M128:M129,M135,M172:M177)</f>
        <v>0.94758333488131385</v>
      </c>
      <c r="N178" s="725" t="s">
        <v>1135</v>
      </c>
      <c r="P178" s="726">
        <f>AVERAGE(P172:P177)</f>
        <v>0.26985321470458079</v>
      </c>
      <c r="Q178" s="17"/>
      <c r="S178" s="364"/>
      <c r="T178" s="727"/>
      <c r="U178" s="2331" t="s">
        <v>1168</v>
      </c>
      <c r="V178" s="2331"/>
      <c r="W178" s="2331"/>
      <c r="X178" s="2331"/>
      <c r="Y178" s="2331"/>
      <c r="Z178" s="2331"/>
      <c r="AA178" s="727"/>
      <c r="AB178" s="727"/>
      <c r="AC178" s="727"/>
      <c r="AD178" s="728"/>
      <c r="AE178" s="729"/>
      <c r="AF178" s="729"/>
      <c r="AG178" s="1877"/>
      <c r="AH178" s="728"/>
      <c r="AI178" s="512">
        <f>S172*AI172+S173*AI173+S174*AI174+S175*AI175+S176*AI176+S177*AI177</f>
        <v>-3.2291845384200969E-2</v>
      </c>
      <c r="AJ178" s="513">
        <f>SUM(AJ172:AJ177)</f>
        <v>475</v>
      </c>
      <c r="AK178" s="514">
        <f>SUM(AK172:AK177)</f>
        <v>-60.603732721818091</v>
      </c>
      <c r="AM178" s="307">
        <f>SUM(AM172:AM177)</f>
        <v>0.17671130952380951</v>
      </c>
      <c r="AN178" s="307">
        <f>SUM(AN172:AN177)</f>
        <v>2.1680801936451492E-2</v>
      </c>
      <c r="AO178" s="308">
        <f>SUM(AO172:AO177)</f>
        <v>2.2321187317994213E-4</v>
      </c>
      <c r="AP178" s="308">
        <f>SUM(AP172:AP177)</f>
        <v>5.2276771858360738E-4</v>
      </c>
    </row>
    <row r="179" spans="1:42" ht="15.75" thickBot="1">
      <c r="A179" s="730"/>
      <c r="B179" s="730"/>
      <c r="C179" s="1847"/>
      <c r="D179" s="731"/>
      <c r="E179" s="731"/>
      <c r="F179" s="731"/>
      <c r="G179" s="731"/>
      <c r="H179" s="732"/>
      <c r="I179" s="733"/>
      <c r="J179" s="734"/>
      <c r="K179" s="735"/>
      <c r="L179" s="735"/>
      <c r="M179" s="735"/>
      <c r="N179" s="735"/>
      <c r="Q179" s="17"/>
      <c r="T179" s="736">
        <f>AVERAGE(T153:T158,T172:T177)</f>
        <v>-8.0705094274377789E-2</v>
      </c>
      <c r="U179" s="2332"/>
      <c r="V179" s="2332"/>
      <c r="W179" s="2332"/>
      <c r="X179" s="2332"/>
      <c r="Y179" s="2332"/>
      <c r="Z179" s="2332"/>
      <c r="AA179" s="737">
        <f>AVERAGE(AA153:AA158,AA172:AA177)</f>
        <v>0.11787497135771037</v>
      </c>
      <c r="AB179" s="737">
        <f>AVERAGE(AB153:AB158,AB172:AB177)</f>
        <v>8.3742965052767085E-2</v>
      </c>
      <c r="AC179" s="737">
        <f>AVERAGE(AC153:AC158,AC172:AC177)</f>
        <v>0.12108924780550236</v>
      </c>
      <c r="AD179" s="736"/>
      <c r="AE179" s="738"/>
      <c r="AF179" s="738"/>
      <c r="AG179" s="1878"/>
      <c r="AH179" s="737">
        <f>AVERAGE(AH153:AH158,AH172:AH177)</f>
        <v>0.11750000000000001</v>
      </c>
      <c r="AI179" s="2314" t="s">
        <v>1169</v>
      </c>
      <c r="AJ179" s="2321"/>
      <c r="AK179" s="2322"/>
      <c r="AO179" s="13"/>
      <c r="AP179" s="13"/>
    </row>
    <row r="180" spans="1:42" ht="18" customHeight="1" thickBot="1">
      <c r="A180" s="730"/>
      <c r="B180" s="730"/>
      <c r="C180" s="1847"/>
      <c r="D180" s="731"/>
      <c r="E180" s="731"/>
      <c r="F180" s="731"/>
      <c r="G180" s="731"/>
      <c r="H180" s="732"/>
      <c r="I180" s="733"/>
      <c r="J180" s="739"/>
      <c r="K180" s="735"/>
      <c r="L180" s="735"/>
      <c r="M180" s="735"/>
      <c r="N180" s="735"/>
      <c r="Q180" s="740"/>
      <c r="AI180" s="534">
        <f>AVERAGE(AI159,AI178)</f>
        <v>-0.1530102786538157</v>
      </c>
      <c r="AJ180" s="741">
        <f>SUM(AJ159,AJ178)</f>
        <v>2688</v>
      </c>
      <c r="AK180" s="742">
        <f>SUM(AK159,AK178)</f>
        <v>-2795.271729313954</v>
      </c>
      <c r="AL180" s="743"/>
      <c r="AM180" s="744">
        <f>SUM(AM159,AM178)</f>
        <v>1</v>
      </c>
      <c r="AN180" s="745">
        <f>SUM(AN159,AN178)</f>
        <v>1</v>
      </c>
      <c r="AO180" s="539">
        <f>SUM(AO159,AO178)</f>
        <v>1.2631442423319671E-3</v>
      </c>
      <c r="AP180" s="539">
        <f>SUM(AP159,AP178)</f>
        <v>2.4112010252936657E-2</v>
      </c>
    </row>
    <row r="181" spans="1:42" ht="18.75">
      <c r="A181" s="146" t="s">
        <v>65</v>
      </c>
      <c r="B181" s="746"/>
      <c r="C181" s="746"/>
      <c r="D181" s="747"/>
      <c r="E181" s="748"/>
      <c r="AO181" s="13"/>
      <c r="AP181" s="13"/>
    </row>
    <row r="182" spans="1:42" ht="12" customHeight="1">
      <c r="E182" s="157"/>
      <c r="AO182" s="13"/>
      <c r="AP182" s="13"/>
    </row>
    <row r="183" spans="1:42">
      <c r="A183" s="749" t="s">
        <v>1</v>
      </c>
      <c r="E183" s="157"/>
      <c r="F183" s="158" t="s">
        <v>1077</v>
      </c>
      <c r="G183" s="158"/>
      <c r="H183" s="159"/>
      <c r="I183" s="160"/>
      <c r="J183" s="161"/>
      <c r="AO183" s="13"/>
      <c r="AP183" s="13"/>
    </row>
    <row r="184" spans="1:42" ht="51" customHeight="1">
      <c r="A184" s="2323" t="s">
        <v>1170</v>
      </c>
      <c r="B184" s="2323"/>
      <c r="C184" s="2323"/>
      <c r="D184" s="2323"/>
      <c r="E184" s="2323"/>
      <c r="F184" s="2323"/>
      <c r="G184" s="2323"/>
      <c r="H184" s="623"/>
      <c r="I184" s="624"/>
      <c r="J184" s="750"/>
      <c r="AA184" s="17" t="s">
        <v>973</v>
      </c>
      <c r="AO184" s="13"/>
      <c r="AP184" s="13"/>
    </row>
    <row r="185" spans="1:42" ht="17.25" customHeight="1">
      <c r="A185" s="187"/>
      <c r="B185" s="1846"/>
      <c r="E185" s="157"/>
      <c r="AO185" s="13"/>
      <c r="AP185" s="13"/>
    </row>
    <row r="186" spans="1:42">
      <c r="A186" s="749" t="s">
        <v>2</v>
      </c>
      <c r="E186" s="157"/>
      <c r="AO186" s="13"/>
      <c r="AP186" s="13"/>
    </row>
    <row r="187" spans="1:42">
      <c r="A187" s="148" t="s">
        <v>1171</v>
      </c>
      <c r="B187" s="156"/>
      <c r="E187" s="157"/>
      <c r="AO187" s="13"/>
      <c r="AP187" s="13"/>
    </row>
    <row r="188" spans="1:42">
      <c r="A188" s="187" t="s">
        <v>1172</v>
      </c>
      <c r="E188" s="157"/>
      <c r="AO188" s="13"/>
      <c r="AP188" s="13"/>
    </row>
    <row r="189" spans="1:42">
      <c r="A189" s="749" t="s">
        <v>5</v>
      </c>
      <c r="E189" s="157"/>
      <c r="AO189" s="13"/>
      <c r="AP189" s="13"/>
    </row>
    <row r="190" spans="1:42">
      <c r="A190" s="751" t="s">
        <v>66</v>
      </c>
      <c r="B190" s="156"/>
      <c r="E190" s="157"/>
      <c r="AO190" s="13"/>
      <c r="AP190" s="13"/>
    </row>
    <row r="191" spans="1:42">
      <c r="A191" s="751" t="s">
        <v>597</v>
      </c>
      <c r="B191" s="162"/>
      <c r="E191" s="157"/>
      <c r="AO191" s="13"/>
      <c r="AP191" s="13"/>
    </row>
    <row r="192" spans="1:42">
      <c r="A192" s="187" t="s">
        <v>1173</v>
      </c>
      <c r="B192" s="162"/>
      <c r="AO192" s="13"/>
      <c r="AP192" s="13"/>
    </row>
    <row r="193" spans="1:42">
      <c r="A193" s="187"/>
      <c r="AO193" s="13"/>
      <c r="AP193" s="13"/>
    </row>
    <row r="194" spans="1:42">
      <c r="A194" s="149" t="s">
        <v>67</v>
      </c>
      <c r="C194" s="157" t="s">
        <v>68</v>
      </c>
      <c r="AO194" s="13"/>
      <c r="AP194" s="13"/>
    </row>
    <row r="195" spans="1:42" ht="15.75" thickBot="1">
      <c r="A195" s="187"/>
      <c r="B195" s="157"/>
      <c r="C195" s="148" t="s">
        <v>25</v>
      </c>
      <c r="K195" s="2309" t="s">
        <v>1174</v>
      </c>
      <c r="L195" s="2309"/>
      <c r="M195" s="2309"/>
      <c r="N195" s="2309"/>
      <c r="O195" s="2309"/>
      <c r="P195" s="1852"/>
      <c r="T195" s="2310"/>
      <c r="U195" s="2310"/>
      <c r="V195" s="2310"/>
      <c r="W195" s="309"/>
      <c r="X195" s="309"/>
      <c r="Y195" s="309"/>
      <c r="Z195" s="309"/>
      <c r="AA195" s="346">
        <v>0.19</v>
      </c>
      <c r="AB195" s="421"/>
      <c r="AC195" s="1851"/>
      <c r="AD195" s="1851"/>
      <c r="AE195" s="188"/>
      <c r="AF195" s="188"/>
      <c r="AG195" s="1866"/>
      <c r="AH195" s="1851"/>
      <c r="AO195" s="13"/>
      <c r="AP195" s="13"/>
    </row>
    <row r="196" spans="1:42" ht="108.75" thickBot="1">
      <c r="A196" s="187"/>
      <c r="B196" s="369" t="s">
        <v>10</v>
      </c>
      <c r="C196" s="370" t="s">
        <v>11</v>
      </c>
      <c r="D196" s="370" t="s">
        <v>12</v>
      </c>
      <c r="E196" s="370" t="s">
        <v>13</v>
      </c>
      <c r="F196" s="370" t="s">
        <v>14</v>
      </c>
      <c r="G196" s="371" t="s">
        <v>15</v>
      </c>
      <c r="H196" s="372" t="s">
        <v>1090</v>
      </c>
      <c r="I196" s="633">
        <f>$C$7</f>
        <v>0.49</v>
      </c>
      <c r="J196" s="684">
        <f>$C$7</f>
        <v>0.49</v>
      </c>
      <c r="K196" s="422" t="s">
        <v>15</v>
      </c>
      <c r="L196" s="423" t="s">
        <v>12</v>
      </c>
      <c r="M196" s="196" t="s">
        <v>1091</v>
      </c>
      <c r="N196" s="549" t="s">
        <v>993</v>
      </c>
      <c r="O196" s="198" t="s">
        <v>1092</v>
      </c>
      <c r="P196" s="199" t="s">
        <v>1092</v>
      </c>
      <c r="Q196" s="752" t="s">
        <v>1093</v>
      </c>
      <c r="R196" s="201" t="s">
        <v>1094</v>
      </c>
      <c r="S196" s="202" t="s">
        <v>1095</v>
      </c>
      <c r="T196" s="203" t="s">
        <v>1095</v>
      </c>
      <c r="U196" s="204" t="s">
        <v>1096</v>
      </c>
      <c r="V196" s="205" t="s">
        <v>1093</v>
      </c>
      <c r="W196" s="206" t="s">
        <v>1094</v>
      </c>
      <c r="X196" s="207" t="s">
        <v>1097</v>
      </c>
      <c r="Y196" s="208">
        <f>$X$33</f>
        <v>0.49</v>
      </c>
      <c r="Z196" s="207" t="s">
        <v>1098</v>
      </c>
      <c r="AA196" s="209" t="s">
        <v>1099</v>
      </c>
      <c r="AB196" s="209" t="s">
        <v>1100</v>
      </c>
      <c r="AC196" s="210" t="s">
        <v>1092</v>
      </c>
      <c r="AD196" s="211" t="s">
        <v>1101</v>
      </c>
      <c r="AE196" s="212" t="s">
        <v>1102</v>
      </c>
      <c r="AF196" s="208" t="s">
        <v>1103</v>
      </c>
      <c r="AG196" s="1867" t="s">
        <v>1104</v>
      </c>
      <c r="AH196" s="213" t="s">
        <v>1116</v>
      </c>
      <c r="AJ196" s="483" t="s">
        <v>1107</v>
      </c>
      <c r="AK196" s="484" t="s">
        <v>1108</v>
      </c>
      <c r="AL196" s="16"/>
      <c r="AM196" s="219" t="s">
        <v>1175</v>
      </c>
      <c r="AN196" s="219" t="s">
        <v>1176</v>
      </c>
      <c r="AO196" s="220" t="s">
        <v>1112</v>
      </c>
      <c r="AP196" s="221" t="s">
        <v>1113</v>
      </c>
    </row>
    <row r="197" spans="1:42" ht="16.5" thickBot="1">
      <c r="A197" s="271"/>
      <c r="B197" s="753" t="s">
        <v>335</v>
      </c>
      <c r="C197" s="754" t="s">
        <v>190</v>
      </c>
      <c r="D197" s="755">
        <v>113</v>
      </c>
      <c r="E197" s="754">
        <v>20</v>
      </c>
      <c r="F197" s="755">
        <v>200</v>
      </c>
      <c r="G197" s="756">
        <v>136</v>
      </c>
      <c r="H197" s="504">
        <f>G197*(1+$H$33)</f>
        <v>145.52000000000001</v>
      </c>
      <c r="I197" s="504">
        <f>H197-H197*$J$196</f>
        <v>74.21520000000001</v>
      </c>
      <c r="J197" s="394">
        <f>G197-G197*$J$196</f>
        <v>69.36</v>
      </c>
      <c r="K197" s="757">
        <v>152</v>
      </c>
      <c r="L197" s="758">
        <v>103</v>
      </c>
      <c r="M197" s="759">
        <f>L197/D197*100%</f>
        <v>0.91150442477876104</v>
      </c>
      <c r="N197" s="760">
        <f>K197-(K197*$N$33)</f>
        <v>83.6</v>
      </c>
      <c r="O197" s="761">
        <f>((N197/J197)-1)*100%</f>
        <v>0.20530565167243364</v>
      </c>
      <c r="P197" s="470">
        <f>((N197/I197)-1)*100%</f>
        <v>0.12645388006769487</v>
      </c>
      <c r="Q197" s="762">
        <v>1.2498964384945694</v>
      </c>
      <c r="R197" s="382">
        <f>Q197*$R$33</f>
        <v>58.786379191715085</v>
      </c>
      <c r="S197" s="383">
        <f>((J197-R197)/J197)*100%</f>
        <v>0.1524455133835772</v>
      </c>
      <c r="T197" s="237">
        <f>((I197-R197)/I197)*100%</f>
        <v>0.20789300316222178</v>
      </c>
      <c r="U197" s="238">
        <v>1.0469999999999999</v>
      </c>
      <c r="V197" s="239">
        <f>U197*$X$31</f>
        <v>1.2564</v>
      </c>
      <c r="W197" s="239">
        <f>V197*$R$33</f>
        <v>59.092261200000003</v>
      </c>
      <c r="X197" s="240">
        <f>(ROUND(W197/(1-$AA$64),0))</f>
        <v>73</v>
      </c>
      <c r="Y197" s="239">
        <f>Z197*(1-$X$33)</f>
        <v>70.38</v>
      </c>
      <c r="Z197" s="240">
        <f>ROUND(X197/(1-$X$32),0)</f>
        <v>138</v>
      </c>
      <c r="AA197" s="241">
        <f>((X197-W197)/X197)*100%</f>
        <v>0.19051696986301367</v>
      </c>
      <c r="AB197" s="241">
        <f>((Y197-W197)/Y197)*100%</f>
        <v>0.16038276214833749</v>
      </c>
      <c r="AC197" s="242">
        <f>((N197/Y197)-1)*100%</f>
        <v>0.18783745382210859</v>
      </c>
      <c r="AD197" s="243">
        <f>((N197*0.96-W197)/(N197*0.96))*100%</f>
        <v>0.26370288576555007</v>
      </c>
      <c r="AE197" s="238">
        <f>N197/$R$33</f>
        <v>1.7774753896200539</v>
      </c>
      <c r="AF197" s="239">
        <f>(V197/(1-$AA$64))</f>
        <v>1.5511111111111109</v>
      </c>
      <c r="AG197" s="1868">
        <v>3.05</v>
      </c>
      <c r="AH197" s="244">
        <f>((AF197-V197)/AF197)*100%</f>
        <v>0.18999999999999992</v>
      </c>
      <c r="AJ197" s="498">
        <f>VLOOKUP($B197,[1]Статистика!$B:$D,3,FALSE)</f>
        <v>7305</v>
      </c>
      <c r="AK197" s="76">
        <f>AJ197*Q197*S197</f>
        <v>1391.9027664922614</v>
      </c>
      <c r="AL197" s="16"/>
      <c r="AM197" s="499">
        <f>AJ197/$AJ$235</f>
        <v>0.13398506997303791</v>
      </c>
      <c r="AN197" s="499">
        <f>AK197/$AK$235</f>
        <v>-1.3001485884583222</v>
      </c>
      <c r="AO197" s="101">
        <f>AJ197/$AJ$23</f>
        <v>3.4327636496410048E-3</v>
      </c>
      <c r="AP197" s="101">
        <f>AK197/$AK$23</f>
        <v>-1.2006551429255627E-2</v>
      </c>
    </row>
    <row r="198" spans="1:42">
      <c r="A198" s="187"/>
      <c r="AO198" s="13"/>
      <c r="AP198" s="13"/>
    </row>
    <row r="199" spans="1:42">
      <c r="A199" s="149" t="s">
        <v>69</v>
      </c>
      <c r="C199" s="157" t="s">
        <v>68</v>
      </c>
      <c r="AO199" s="13"/>
      <c r="AP199" s="13"/>
    </row>
    <row r="200" spans="1:42" ht="15.75" thickBot="1">
      <c r="A200" s="187"/>
      <c r="B200" s="157"/>
      <c r="C200" s="148" t="s">
        <v>31</v>
      </c>
      <c r="K200" s="2309" t="s">
        <v>1177</v>
      </c>
      <c r="L200" s="2309"/>
      <c r="M200" s="2309"/>
      <c r="N200" s="2309"/>
      <c r="O200" s="2309"/>
      <c r="P200" s="1852"/>
      <c r="T200" s="2310"/>
      <c r="U200" s="2310"/>
      <c r="V200" s="2310"/>
      <c r="W200" s="309"/>
      <c r="X200" s="309"/>
      <c r="Y200" s="309"/>
      <c r="Z200" s="309"/>
      <c r="AA200" s="346">
        <v>0.19</v>
      </c>
      <c r="AB200" s="421"/>
      <c r="AC200" s="1851"/>
      <c r="AD200" s="1851"/>
      <c r="AE200" s="188"/>
      <c r="AF200" s="188"/>
      <c r="AG200" s="1866"/>
      <c r="AH200" s="1851"/>
      <c r="AO200" s="13"/>
      <c r="AP200" s="13"/>
    </row>
    <row r="201" spans="1:42" ht="108.75" thickBot="1">
      <c r="A201" s="187"/>
      <c r="B201" s="369" t="s">
        <v>10</v>
      </c>
      <c r="C201" s="370" t="s">
        <v>11</v>
      </c>
      <c r="D201" s="370" t="s">
        <v>12</v>
      </c>
      <c r="E201" s="370" t="s">
        <v>13</v>
      </c>
      <c r="F201" s="370" t="s">
        <v>14</v>
      </c>
      <c r="G201" s="371" t="s">
        <v>15</v>
      </c>
      <c r="H201" s="372" t="s">
        <v>1090</v>
      </c>
      <c r="I201" s="372">
        <f>$C$7</f>
        <v>0.49</v>
      </c>
      <c r="J201" s="394">
        <f>$C$7</f>
        <v>0.49</v>
      </c>
      <c r="K201" s="422" t="s">
        <v>15</v>
      </c>
      <c r="L201" s="423" t="s">
        <v>12</v>
      </c>
      <c r="M201" s="196" t="s">
        <v>1091</v>
      </c>
      <c r="N201" s="549" t="s">
        <v>993</v>
      </c>
      <c r="O201" s="424" t="s">
        <v>1092</v>
      </c>
      <c r="P201" s="602" t="s">
        <v>1092</v>
      </c>
      <c r="Q201" s="200" t="s">
        <v>1093</v>
      </c>
      <c r="R201" s="201" t="s">
        <v>1094</v>
      </c>
      <c r="S201" s="202" t="s">
        <v>1095</v>
      </c>
      <c r="T201" s="203" t="s">
        <v>1095</v>
      </c>
      <c r="U201" s="204" t="s">
        <v>1096</v>
      </c>
      <c r="V201" s="205" t="s">
        <v>1093</v>
      </c>
      <c r="W201" s="206" t="s">
        <v>1094</v>
      </c>
      <c r="X201" s="207" t="s">
        <v>1097</v>
      </c>
      <c r="Y201" s="208">
        <f>$X$33</f>
        <v>0.49</v>
      </c>
      <c r="Z201" s="207" t="s">
        <v>1098</v>
      </c>
      <c r="AA201" s="209" t="s">
        <v>1099</v>
      </c>
      <c r="AB201" s="209" t="s">
        <v>1100</v>
      </c>
      <c r="AC201" s="210" t="s">
        <v>1092</v>
      </c>
      <c r="AD201" s="211" t="s">
        <v>1101</v>
      </c>
      <c r="AE201" s="212" t="s">
        <v>1102</v>
      </c>
      <c r="AF201" s="208" t="s">
        <v>1103</v>
      </c>
      <c r="AG201" s="1867" t="s">
        <v>1104</v>
      </c>
      <c r="AH201" s="213" t="s">
        <v>1116</v>
      </c>
      <c r="AJ201" s="483" t="s">
        <v>1107</v>
      </c>
      <c r="AK201" s="484" t="s">
        <v>1108</v>
      </c>
      <c r="AL201" s="16"/>
      <c r="AM201" s="219" t="s">
        <v>1175</v>
      </c>
      <c r="AN201" s="219" t="s">
        <v>1176</v>
      </c>
      <c r="AO201" s="220" t="s">
        <v>1112</v>
      </c>
      <c r="AP201" s="221" t="s">
        <v>1113</v>
      </c>
    </row>
    <row r="202" spans="1:42" ht="16.5" thickBot="1">
      <c r="A202" s="271"/>
      <c r="B202" s="753" t="s">
        <v>336</v>
      </c>
      <c r="C202" s="754" t="s">
        <v>1178</v>
      </c>
      <c r="D202" s="755">
        <v>116</v>
      </c>
      <c r="E202" s="754">
        <v>25</v>
      </c>
      <c r="F202" s="755">
        <v>200</v>
      </c>
      <c r="G202" s="763">
        <v>115.00014753496829</v>
      </c>
      <c r="H202" s="504">
        <f>G202*(1+$H$33)</f>
        <v>123.05015786241609</v>
      </c>
      <c r="I202" s="504">
        <f>H202-H202*$J$196</f>
        <v>62.755580509832207</v>
      </c>
      <c r="J202" s="764">
        <f>G202-G202*$J$196</f>
        <v>58.650075242833829</v>
      </c>
      <c r="K202" s="757">
        <v>161</v>
      </c>
      <c r="L202" s="758">
        <v>112</v>
      </c>
      <c r="M202" s="759">
        <f>L202/D202*100%</f>
        <v>0.96551724137931039</v>
      </c>
      <c r="N202" s="760">
        <f>K202-(K202*$N$33)</f>
        <v>88.55</v>
      </c>
      <c r="O202" s="761">
        <f>((N202/J202)-1)*100%</f>
        <v>0.50980198462438464</v>
      </c>
      <c r="P202" s="472">
        <f>((N202/I202)-1)*100%</f>
        <v>0.41102989217232189</v>
      </c>
      <c r="Q202" s="385">
        <v>1.3214087947882736</v>
      </c>
      <c r="R202" s="382">
        <f>Q202*$R$33</f>
        <v>62.149819845276873</v>
      </c>
      <c r="S202" s="383">
        <f>((J202-R202)/J202)*100%</f>
        <v>-5.9671613172749709E-2</v>
      </c>
      <c r="T202" s="237">
        <f>((I202-R202)/I202)*100%</f>
        <v>9.6526979693929565E-3</v>
      </c>
      <c r="U202" s="238">
        <v>1.093</v>
      </c>
      <c r="V202" s="239">
        <f>U202*$X$31</f>
        <v>1.3115999999999999</v>
      </c>
      <c r="W202" s="239">
        <f>V202*$R$33</f>
        <v>61.688482799999996</v>
      </c>
      <c r="X202" s="240">
        <f>(ROUND(W202/(1-$AA$64),0))</f>
        <v>76</v>
      </c>
      <c r="Y202" s="239">
        <f>Z202*(1-$X$33)</f>
        <v>72.930000000000007</v>
      </c>
      <c r="Z202" s="240">
        <f>ROUND(X202/(1-$X$32),0)</f>
        <v>143</v>
      </c>
      <c r="AA202" s="241">
        <f>((X202-W202)/X202)*100%</f>
        <v>0.18830943684210533</v>
      </c>
      <c r="AB202" s="241">
        <f>((Y202-W202)/Y202)*100%</f>
        <v>0.15414119292472248</v>
      </c>
      <c r="AC202" s="242">
        <f>((N202/Y202)-1)*100%</f>
        <v>0.21417797888386114</v>
      </c>
      <c r="AD202" s="243">
        <f>((N202*0.96-W202)/(N202*0.96))*100%</f>
        <v>0.27432144268774705</v>
      </c>
      <c r="AE202" s="238">
        <f>N202/$R$33</f>
        <v>1.8827206429528203</v>
      </c>
      <c r="AF202" s="239">
        <f>(V202/(1-$AA$64))</f>
        <v>1.619259259259259</v>
      </c>
      <c r="AG202" s="1868">
        <v>3.2</v>
      </c>
      <c r="AH202" s="244">
        <f>((AF202-V202)/AF202)*100%</f>
        <v>0.18999999999999992</v>
      </c>
      <c r="AJ202" s="498">
        <f>VLOOKUP($B202,[1]Статистика!$B:$D,3,FALSE)</f>
        <v>1835</v>
      </c>
      <c r="AK202" s="76">
        <f>AJ202*Q202*S202</f>
        <v>-144.69084080781411</v>
      </c>
      <c r="AL202" s="16"/>
      <c r="AM202" s="499">
        <f>AJ202/$AJ$235</f>
        <v>3.3656756112323695E-2</v>
      </c>
      <c r="AN202" s="499">
        <f>AK202/$AK$235</f>
        <v>0.13515282602189813</v>
      </c>
      <c r="AO202" s="101">
        <f>AJ202/$AJ$23</f>
        <v>8.623027100740922E-4</v>
      </c>
      <c r="AP202" s="101">
        <f>AK202/$AK$23</f>
        <v>1.2481030021078829E-3</v>
      </c>
    </row>
    <row r="203" spans="1:42">
      <c r="A203" s="187"/>
      <c r="AO203" s="13"/>
      <c r="AP203" s="13"/>
    </row>
    <row r="204" spans="1:42">
      <c r="A204" s="149" t="s">
        <v>70</v>
      </c>
      <c r="C204" s="157" t="s">
        <v>71</v>
      </c>
      <c r="AO204" s="13"/>
      <c r="AP204" s="13"/>
    </row>
    <row r="205" spans="1:42" ht="15.75" thickBot="1">
      <c r="A205" s="187"/>
      <c r="B205" s="157"/>
      <c r="C205" s="148" t="s">
        <v>27</v>
      </c>
      <c r="K205" s="2309" t="s">
        <v>1179</v>
      </c>
      <c r="L205" s="2309"/>
      <c r="M205" s="2309"/>
      <c r="N205" s="2309"/>
      <c r="O205" s="2309"/>
      <c r="P205" s="1852"/>
      <c r="T205" s="627"/>
      <c r="U205" s="627"/>
      <c r="V205" s="627"/>
      <c r="W205" s="627"/>
      <c r="X205" s="627"/>
      <c r="Y205" s="627"/>
      <c r="Z205" s="627"/>
      <c r="AA205" s="628">
        <v>0.19</v>
      </c>
      <c r="AB205" s="1851"/>
      <c r="AC205" s="1851"/>
      <c r="AD205" s="188"/>
      <c r="AE205" s="188"/>
      <c r="AF205" s="188"/>
      <c r="AG205" s="1876"/>
      <c r="AH205" s="1851"/>
      <c r="AO205" s="13"/>
      <c r="AP205" s="13"/>
    </row>
    <row r="206" spans="1:42" ht="108.75" thickBot="1">
      <c r="A206" s="187"/>
      <c r="B206" s="369" t="s">
        <v>10</v>
      </c>
      <c r="C206" s="370" t="s">
        <v>11</v>
      </c>
      <c r="D206" s="370" t="s">
        <v>12</v>
      </c>
      <c r="E206" s="370" t="s">
        <v>13</v>
      </c>
      <c r="F206" s="370" t="s">
        <v>14</v>
      </c>
      <c r="G206" s="371" t="s">
        <v>15</v>
      </c>
      <c r="H206" s="372" t="s">
        <v>1090</v>
      </c>
      <c r="I206" s="372">
        <f>$C$7</f>
        <v>0.49</v>
      </c>
      <c r="J206" s="394">
        <f>$C$7</f>
        <v>0.49</v>
      </c>
      <c r="K206" s="314" t="s">
        <v>15</v>
      </c>
      <c r="L206" s="423" t="s">
        <v>12</v>
      </c>
      <c r="M206" s="196" t="s">
        <v>1091</v>
      </c>
      <c r="N206" s="549" t="s">
        <v>993</v>
      </c>
      <c r="O206" s="317" t="s">
        <v>1092</v>
      </c>
      <c r="P206" s="602" t="s">
        <v>1092</v>
      </c>
      <c r="Q206" s="200" t="s">
        <v>1093</v>
      </c>
      <c r="R206" s="201" t="s">
        <v>1094</v>
      </c>
      <c r="S206" s="350" t="s">
        <v>1095</v>
      </c>
      <c r="T206" s="203" t="s">
        <v>1095</v>
      </c>
      <c r="U206" s="204" t="s">
        <v>1096</v>
      </c>
      <c r="V206" s="205" t="s">
        <v>1093</v>
      </c>
      <c r="W206" s="206" t="s">
        <v>1094</v>
      </c>
      <c r="X206" s="207" t="s">
        <v>1097</v>
      </c>
      <c r="Y206" s="208">
        <f>$X$33</f>
        <v>0.49</v>
      </c>
      <c r="Z206" s="207" t="s">
        <v>1098</v>
      </c>
      <c r="AA206" s="209" t="s">
        <v>1099</v>
      </c>
      <c r="AB206" s="209" t="s">
        <v>1100</v>
      </c>
      <c r="AC206" s="210" t="s">
        <v>1092</v>
      </c>
      <c r="AD206" s="211" t="s">
        <v>1101</v>
      </c>
      <c r="AE206" s="212" t="s">
        <v>1102</v>
      </c>
      <c r="AF206" s="208" t="s">
        <v>1103</v>
      </c>
      <c r="AG206" s="1867" t="s">
        <v>1104</v>
      </c>
      <c r="AH206" s="213" t="s">
        <v>1116</v>
      </c>
      <c r="AI206" s="218" t="s">
        <v>1106</v>
      </c>
      <c r="AJ206" s="319" t="s">
        <v>1107</v>
      </c>
      <c r="AK206" s="320" t="s">
        <v>1108</v>
      </c>
      <c r="AL206" s="219" t="s">
        <v>1109</v>
      </c>
      <c r="AM206" s="219" t="s">
        <v>1175</v>
      </c>
      <c r="AN206" s="219" t="s">
        <v>1176</v>
      </c>
      <c r="AO206" s="220" t="s">
        <v>1112</v>
      </c>
      <c r="AP206" s="221" t="s">
        <v>1113</v>
      </c>
    </row>
    <row r="207" spans="1:42" ht="15.75">
      <c r="A207" s="271"/>
      <c r="B207" s="351" t="s">
        <v>337</v>
      </c>
      <c r="C207" s="250" t="s">
        <v>338</v>
      </c>
      <c r="D207" s="251">
        <v>133</v>
      </c>
      <c r="E207" s="250">
        <v>2</v>
      </c>
      <c r="F207" s="251">
        <v>120</v>
      </c>
      <c r="G207" s="471">
        <v>140</v>
      </c>
      <c r="H207" s="504">
        <f>G207*(1+$H$33)</f>
        <v>149.80000000000001</v>
      </c>
      <c r="I207" s="504">
        <f>H207-H207*$J$196</f>
        <v>76.39800000000001</v>
      </c>
      <c r="J207" s="426">
        <f>G207-G207*$J$196</f>
        <v>71.400000000000006</v>
      </c>
      <c r="K207" s="321">
        <v>196</v>
      </c>
      <c r="L207" s="435">
        <v>125</v>
      </c>
      <c r="M207" s="436">
        <f>L207/D207*100%</f>
        <v>0.93984962406015038</v>
      </c>
      <c r="N207" s="765">
        <f>K207-(K207*$N$33)</f>
        <v>107.8</v>
      </c>
      <c r="O207" s="329">
        <f>((N207/J207)-1)*100%</f>
        <v>0.50980392156862719</v>
      </c>
      <c r="P207" s="330">
        <f>((N207/I207)-1)*100%</f>
        <v>0.41103170240058629</v>
      </c>
      <c r="Q207" s="385">
        <v>1.53</v>
      </c>
      <c r="R207" s="382">
        <f>Q207*$R$33</f>
        <v>71.960490000000007</v>
      </c>
      <c r="S207" s="324">
        <f>((J207-R207)/J207)*100%</f>
        <v>-7.8500000000000202E-3</v>
      </c>
      <c r="T207" s="237">
        <f>((I207-R207)/I207)*100%</f>
        <v>5.8084112149532741E-2</v>
      </c>
      <c r="U207" s="238">
        <v>1.288</v>
      </c>
      <c r="V207" s="239">
        <f>U207*$X$31</f>
        <v>1.5456000000000001</v>
      </c>
      <c r="W207" s="239">
        <f>V207*$R$33</f>
        <v>72.694204800000009</v>
      </c>
      <c r="X207" s="240">
        <f>(ROUND(W207/(1-$AA$64),0))</f>
        <v>90</v>
      </c>
      <c r="Y207" s="239">
        <f>Z207*(1-$X$33)</f>
        <v>86.7</v>
      </c>
      <c r="Z207" s="240">
        <f>ROUND(X207/(1-$X$32),0)</f>
        <v>170</v>
      </c>
      <c r="AA207" s="241">
        <f>((X207-W207)/X207)*100%</f>
        <v>0.19228661333333325</v>
      </c>
      <c r="AB207" s="241">
        <f>((Y207-W207)/Y207)*100%</f>
        <v>0.16154319723183383</v>
      </c>
      <c r="AC207" s="242">
        <f>((N207/Y207)-1)*100%</f>
        <v>0.24336793540945778</v>
      </c>
      <c r="AD207" s="243">
        <f>((N207*0.96-W207)/(N207*0.96))*100%</f>
        <v>0.29755909090909083</v>
      </c>
      <c r="AE207" s="239">
        <f>N207/$R$33</f>
        <v>2.2920077392469116</v>
      </c>
      <c r="AF207" s="239">
        <f>(V207/(1-$AA$64))</f>
        <v>1.9081481481481481</v>
      </c>
      <c r="AG207" s="1868">
        <f>AF207/(1-$X$32)</f>
        <v>3.6002795248078265</v>
      </c>
      <c r="AH207" s="244">
        <f>((AF207-V207)/AF207)*100%</f>
        <v>0.18999999999999995</v>
      </c>
      <c r="AI207" s="92">
        <f>AJ207/$AJ$209</f>
        <v>0.6528027882660471</v>
      </c>
      <c r="AJ207" s="338">
        <f>VLOOKUP($B207,[1]Статистика!$B:$D,3,FALSE)</f>
        <v>11238</v>
      </c>
      <c r="AK207" s="297">
        <f>AJ207*Q207*S207</f>
        <v>-134.97399900000033</v>
      </c>
      <c r="AL207" s="92">
        <f>AK207/$AK$109</f>
        <v>3.2692540754490969E-2</v>
      </c>
      <c r="AM207" s="92">
        <f>AJ207/$AJ$235</f>
        <v>0.20612241154784394</v>
      </c>
      <c r="AN207" s="92">
        <f>AK207/$AK$235</f>
        <v>0.12607651806071835</v>
      </c>
      <c r="AO207" s="77">
        <f>AJ207/$AJ$23</f>
        <v>5.2809579595709255E-3</v>
      </c>
      <c r="AP207" s="77">
        <f>AK207/$AK$23</f>
        <v>1.1642855374803306E-3</v>
      </c>
    </row>
    <row r="208" spans="1:42" ht="16.5" thickBot="1">
      <c r="A208" s="187"/>
      <c r="B208" s="473" t="s">
        <v>339</v>
      </c>
      <c r="C208" s="275" t="s">
        <v>340</v>
      </c>
      <c r="D208" s="474">
        <v>142</v>
      </c>
      <c r="E208" s="275">
        <v>2</v>
      </c>
      <c r="F208" s="276">
        <v>120</v>
      </c>
      <c r="G208" s="474">
        <v>144</v>
      </c>
      <c r="H208" s="504">
        <f>G208*(1+$H$33)</f>
        <v>154.08000000000001</v>
      </c>
      <c r="I208" s="504">
        <f>H208-H208*$J$196</f>
        <v>78.580800000000011</v>
      </c>
      <c r="J208" s="445">
        <f>G208-G208*$J$35</f>
        <v>73.44</v>
      </c>
      <c r="K208" s="340">
        <v>206</v>
      </c>
      <c r="L208" s="446">
        <v>127</v>
      </c>
      <c r="M208" s="766">
        <f>L208/D208*100%</f>
        <v>0.89436619718309862</v>
      </c>
      <c r="N208" s="767">
        <f>K208-(K208*$N$33)</f>
        <v>113.3</v>
      </c>
      <c r="O208" s="363">
        <f>((N208/J208)-1)*100%</f>
        <v>0.54275599128540297</v>
      </c>
      <c r="P208" s="343">
        <f>((N208/I208)-1)*100%</f>
        <v>0.44182802923869424</v>
      </c>
      <c r="Q208" s="381">
        <v>1.6756726319037336</v>
      </c>
      <c r="R208" s="382">
        <f>Q208*$R$33</f>
        <v>78.8119108963283</v>
      </c>
      <c r="S208" s="329">
        <f>((J208-R208)/J208)*100%</f>
        <v>-7.3146934862858143E-2</v>
      </c>
      <c r="T208" s="260">
        <f>((I208-R208)/I208)*100%</f>
        <v>-2.9410606194934263E-3</v>
      </c>
      <c r="U208" s="238">
        <v>1.371</v>
      </c>
      <c r="V208" s="262">
        <f>U208*$X$31</f>
        <v>1.6452</v>
      </c>
      <c r="W208" s="262">
        <f>V208*$R$33</f>
        <v>77.378691599999996</v>
      </c>
      <c r="X208" s="240">
        <f>(ROUND(W208/(1-$AA$64),0))</f>
        <v>96</v>
      </c>
      <c r="Y208" s="262">
        <f>Z208*(1-$X$33)</f>
        <v>92.31</v>
      </c>
      <c r="Z208" s="263">
        <f>ROUND(X208/(1-$X$32),0)</f>
        <v>181</v>
      </c>
      <c r="AA208" s="241">
        <f>((X208-W208)/X208)*100%</f>
        <v>0.19397196250000004</v>
      </c>
      <c r="AB208" s="241">
        <f>((Y208-W208)/Y208)*100%</f>
        <v>0.16175179720506994</v>
      </c>
      <c r="AC208" s="768">
        <f>((N208/Y208)-1)*100%</f>
        <v>0.22738598201711624</v>
      </c>
      <c r="AD208" s="266">
        <f>((N208*0.96-W208)/(N208*0.96))*100%</f>
        <v>0.28858955207413939</v>
      </c>
      <c r="AE208" s="262">
        <f>N208/$R$33</f>
        <v>2.408946909616652</v>
      </c>
      <c r="AF208" s="239">
        <f>(V208/(1-$AA$64))</f>
        <v>2.0311111111111111</v>
      </c>
      <c r="AG208" s="1869">
        <v>3.83</v>
      </c>
      <c r="AH208" s="267">
        <f>((AF208-V208)/AF208)*100%</f>
        <v>0.19</v>
      </c>
      <c r="AI208" s="77">
        <f>AJ208/$AJ$209</f>
        <v>0.34719721173395296</v>
      </c>
      <c r="AJ208" s="399">
        <f>VLOOKUP($B208,[1]Статистика!$B:$D,3,FALSE)</f>
        <v>5977</v>
      </c>
      <c r="AK208" s="270">
        <f>AJ208*Q208*S208</f>
        <v>-732.60278385630011</v>
      </c>
      <c r="AL208" s="77">
        <f>AK208/$AK$109</f>
        <v>0.17744637149022732</v>
      </c>
      <c r="AM208" s="77">
        <f>AJ208/$AJ$235</f>
        <v>0.10962748298820638</v>
      </c>
      <c r="AN208" s="65">
        <f>AK208/$AK$235</f>
        <v>0.68430963588913984</v>
      </c>
      <c r="AO208" s="77">
        <f>AJ208/$AJ$23</f>
        <v>2.8087102442031875E-3</v>
      </c>
      <c r="AP208" s="77">
        <f>AK208/$AK$23</f>
        <v>6.3194306479851473E-3</v>
      </c>
    </row>
    <row r="209" spans="1:42" ht="15.75" thickBot="1">
      <c r="A209" s="187"/>
      <c r="P209" s="199"/>
      <c r="S209" s="364"/>
      <c r="T209" s="769"/>
      <c r="U209" s="770"/>
      <c r="V209" s="770"/>
      <c r="W209" s="770"/>
      <c r="X209" s="770"/>
      <c r="Y209" s="770"/>
      <c r="Z209" s="770"/>
      <c r="AA209" s="771"/>
      <c r="AB209" s="771"/>
      <c r="AC209" s="771"/>
      <c r="AD209" s="771">
        <f>AVERAGE(AD207:AD208)</f>
        <v>0.29307432149161511</v>
      </c>
      <c r="AE209" s="770"/>
      <c r="AF209" s="770"/>
      <c r="AG209" s="1879"/>
      <c r="AH209" s="771"/>
      <c r="AI209" s="512">
        <f>S207*AI207+S208*AI208</f>
        <v>-3.0520913719157911E-2</v>
      </c>
      <c r="AJ209" s="513">
        <f>SUM(AJ207:AJ208)</f>
        <v>17215</v>
      </c>
      <c r="AK209" s="514">
        <f>SUM(AK207:AK208)</f>
        <v>-867.5767828563005</v>
      </c>
      <c r="AM209" s="307">
        <f>AJ209/$AJ$235</f>
        <v>0.31574989453605035</v>
      </c>
      <c r="AN209" s="307">
        <f>SUM(AN207:AN208)</f>
        <v>0.81038615394985825</v>
      </c>
      <c r="AO209" s="308">
        <f>SUM(AO207:AO208)</f>
        <v>8.0896682037741134E-3</v>
      </c>
      <c r="AP209" s="308">
        <f>SUM(AP207:AP208)</f>
        <v>7.4837161854654777E-3</v>
      </c>
    </row>
    <row r="210" spans="1:42">
      <c r="A210" s="187"/>
      <c r="AO210" s="13"/>
      <c r="AP210" s="13"/>
    </row>
    <row r="211" spans="1:42">
      <c r="A211" s="149" t="s">
        <v>72</v>
      </c>
      <c r="C211" s="157" t="s">
        <v>73</v>
      </c>
      <c r="AO211" s="13"/>
      <c r="AP211" s="13"/>
    </row>
    <row r="212" spans="1:42" ht="15.75" thickBot="1">
      <c r="A212" s="187"/>
      <c r="B212" s="157"/>
      <c r="K212" s="2309" t="s">
        <v>1180</v>
      </c>
      <c r="L212" s="2309"/>
      <c r="M212" s="2309"/>
      <c r="N212" s="2309"/>
      <c r="O212" s="2309"/>
      <c r="P212" s="1852"/>
      <c r="T212" s="2310"/>
      <c r="U212" s="2310"/>
      <c r="V212" s="2310"/>
      <c r="W212" s="309"/>
      <c r="X212" s="309"/>
      <c r="Y212" s="309"/>
      <c r="Z212" s="309"/>
      <c r="AA212" s="346">
        <v>0.19</v>
      </c>
      <c r="AB212" s="421"/>
      <c r="AC212" s="1851"/>
      <c r="AD212" s="1851"/>
      <c r="AE212" s="188"/>
      <c r="AF212" s="188"/>
      <c r="AG212" s="1866"/>
      <c r="AH212" s="1851"/>
      <c r="AO212" s="13"/>
      <c r="AP212" s="13"/>
    </row>
    <row r="213" spans="1:42" ht="108.75" thickBot="1">
      <c r="A213" s="187"/>
      <c r="B213" s="369" t="s">
        <v>10</v>
      </c>
      <c r="C213" s="370" t="s">
        <v>11</v>
      </c>
      <c r="D213" s="370" t="s">
        <v>12</v>
      </c>
      <c r="E213" s="370" t="s">
        <v>13</v>
      </c>
      <c r="F213" s="370" t="s">
        <v>14</v>
      </c>
      <c r="G213" s="371" t="s">
        <v>15</v>
      </c>
      <c r="H213" s="372" t="s">
        <v>1090</v>
      </c>
      <c r="I213" s="372">
        <f>$C$7</f>
        <v>0.49</v>
      </c>
      <c r="J213" s="394">
        <f>$C$7</f>
        <v>0.49</v>
      </c>
      <c r="K213" s="422" t="s">
        <v>15</v>
      </c>
      <c r="L213" s="423" t="s">
        <v>12</v>
      </c>
      <c r="M213" s="196" t="s">
        <v>1091</v>
      </c>
      <c r="N213" s="549" t="s">
        <v>993</v>
      </c>
      <c r="O213" s="424" t="s">
        <v>1092</v>
      </c>
      <c r="P213" s="772" t="s">
        <v>1092</v>
      </c>
      <c r="Q213" s="200" t="s">
        <v>1093</v>
      </c>
      <c r="R213" s="201" t="s">
        <v>1094</v>
      </c>
      <c r="S213" s="202" t="s">
        <v>1095</v>
      </c>
      <c r="T213" s="203" t="s">
        <v>1095</v>
      </c>
      <c r="U213" s="204" t="s">
        <v>1096</v>
      </c>
      <c r="V213" s="205" t="s">
        <v>1093</v>
      </c>
      <c r="W213" s="206" t="s">
        <v>1094</v>
      </c>
      <c r="X213" s="207" t="s">
        <v>1097</v>
      </c>
      <c r="Y213" s="208">
        <f>$X$33</f>
        <v>0.49</v>
      </c>
      <c r="Z213" s="207" t="s">
        <v>1098</v>
      </c>
      <c r="AA213" s="209" t="s">
        <v>1099</v>
      </c>
      <c r="AB213" s="209" t="s">
        <v>1100</v>
      </c>
      <c r="AC213" s="210" t="s">
        <v>1092</v>
      </c>
      <c r="AD213" s="211" t="s">
        <v>1101</v>
      </c>
      <c r="AE213" s="212" t="s">
        <v>1102</v>
      </c>
      <c r="AF213" s="208" t="s">
        <v>1103</v>
      </c>
      <c r="AG213" s="1867" t="s">
        <v>1104</v>
      </c>
      <c r="AH213" s="213" t="s">
        <v>1116</v>
      </c>
      <c r="AJ213" s="483" t="s">
        <v>1107</v>
      </c>
      <c r="AK213" s="484" t="s">
        <v>1108</v>
      </c>
      <c r="AL213" s="16"/>
      <c r="AM213" s="219" t="s">
        <v>1175</v>
      </c>
      <c r="AN213" s="219" t="s">
        <v>1176</v>
      </c>
      <c r="AO213" s="220" t="s">
        <v>1112</v>
      </c>
      <c r="AP213" s="221" t="s">
        <v>1113</v>
      </c>
    </row>
    <row r="214" spans="1:42" ht="36.75" customHeight="1" thickBot="1">
      <c r="A214" s="271"/>
      <c r="B214" s="753" t="s">
        <v>341</v>
      </c>
      <c r="C214" s="275" t="s">
        <v>342</v>
      </c>
      <c r="D214" s="276">
        <v>138</v>
      </c>
      <c r="E214" s="275">
        <v>1</v>
      </c>
      <c r="F214" s="276">
        <v>160</v>
      </c>
      <c r="G214" s="474">
        <v>150</v>
      </c>
      <c r="H214" s="504">
        <f>G214*(1+$H$33)</f>
        <v>160.5</v>
      </c>
      <c r="I214" s="504">
        <f>H214-H214*$J$196</f>
        <v>81.855000000000004</v>
      </c>
      <c r="J214" s="394">
        <f>G214-G214*$J$196</f>
        <v>76.5</v>
      </c>
      <c r="K214" s="773">
        <v>205</v>
      </c>
      <c r="L214" s="758">
        <v>137</v>
      </c>
      <c r="M214" s="759">
        <f>L214/D214*100%</f>
        <v>0.99275362318840576</v>
      </c>
      <c r="N214" s="760">
        <f>K214-(K214*$N$33)</f>
        <v>112.75</v>
      </c>
      <c r="O214" s="774">
        <f>((N214/J214)-1)*100%</f>
        <v>0.47385620915032689</v>
      </c>
      <c r="P214" s="775">
        <f>((N214/I214)-1)*100%</f>
        <v>0.37743570948628657</v>
      </c>
      <c r="Q214" s="762">
        <v>1.7</v>
      </c>
      <c r="R214" s="382">
        <f>Q214*$R$33</f>
        <v>79.956100000000006</v>
      </c>
      <c r="S214" s="383">
        <f>((J214-R214)/J214)*100%</f>
        <v>-4.5177777777777858E-2</v>
      </c>
      <c r="T214" s="237">
        <f>((I214-R214)/I214)*100%</f>
        <v>2.3198338525441297E-2</v>
      </c>
      <c r="U214" s="238">
        <v>1.4379999999999999</v>
      </c>
      <c r="V214" s="239">
        <f>U214*$X$31</f>
        <v>1.7255999999999998</v>
      </c>
      <c r="W214" s="239">
        <f>V214*$R$33</f>
        <v>81.160144799999998</v>
      </c>
      <c r="X214" s="240">
        <f>(ROUND(W214/(1-$AA$64),0))</f>
        <v>100</v>
      </c>
      <c r="Y214" s="239">
        <f>Z214*(1-$X$33)</f>
        <v>96.39</v>
      </c>
      <c r="Z214" s="240">
        <f>ROUND(X214/(1-$X$32),0)</f>
        <v>189</v>
      </c>
      <c r="AA214" s="241">
        <f>((X214-W214)/X214)*100%</f>
        <v>0.18839855200000002</v>
      </c>
      <c r="AB214" s="241">
        <f>((Y214-W214)/Y214)*100%</f>
        <v>0.15800244008714601</v>
      </c>
      <c r="AC214" s="242">
        <f>((N214/Y214)-1)*100%</f>
        <v>0.16972715011930695</v>
      </c>
      <c r="AD214" s="243">
        <f>((N214*0.96-W214)/(N214*0.96))*100%</f>
        <v>0.25018343680709532</v>
      </c>
      <c r="AE214" s="238">
        <f>N214/$R$33</f>
        <v>2.3972529925796779</v>
      </c>
      <c r="AF214" s="239">
        <f>(V214/(1-$AA$64))</f>
        <v>2.13037037037037</v>
      </c>
      <c r="AG214" s="1868">
        <f>AF214/(1-$X$32)</f>
        <v>4.0195667365478673</v>
      </c>
      <c r="AH214" s="244">
        <f>((AF214-V214)/AF214)*100%</f>
        <v>0.18999999999999997</v>
      </c>
      <c r="AJ214" s="498">
        <f>[1]Статистика!D528</f>
        <v>6375</v>
      </c>
      <c r="AK214" s="76">
        <f>AJ214*Q214*S214</f>
        <v>-489.61416666666753</v>
      </c>
      <c r="AL214" s="16"/>
      <c r="AM214" s="499">
        <f>AJ214/$AJ$235</f>
        <v>0.11692742246107005</v>
      </c>
      <c r="AN214" s="499">
        <f>AK214/$AK$235</f>
        <v>0.45733881920867969</v>
      </c>
      <c r="AO214" s="101">
        <f>AJ214/$AJ$23</f>
        <v>2.9957382979413287E-3</v>
      </c>
      <c r="AP214" s="101">
        <f>AK214/$AK$23</f>
        <v>4.2234111563626692E-3</v>
      </c>
    </row>
    <row r="215" spans="1:42">
      <c r="A215" s="149" t="s">
        <v>74</v>
      </c>
      <c r="C215" s="157" t="s">
        <v>75</v>
      </c>
      <c r="AO215" s="13"/>
      <c r="AP215" s="13"/>
    </row>
    <row r="216" spans="1:42" ht="15.75" thickBot="1">
      <c r="A216" s="187"/>
      <c r="B216" s="157"/>
      <c r="C216" s="148" t="s">
        <v>42</v>
      </c>
      <c r="K216" s="2309" t="s">
        <v>1181</v>
      </c>
      <c r="L216" s="2309"/>
      <c r="M216" s="2309"/>
      <c r="N216" s="2309"/>
      <c r="O216" s="2309"/>
      <c r="P216" s="1852"/>
      <c r="T216" s="2310"/>
      <c r="U216" s="2310"/>
      <c r="V216" s="2310"/>
      <c r="W216" s="309"/>
      <c r="X216" s="309"/>
      <c r="Y216" s="309"/>
      <c r="Z216" s="309"/>
      <c r="AA216" s="346">
        <v>0.19</v>
      </c>
      <c r="AB216" s="421"/>
      <c r="AC216" s="1851"/>
      <c r="AD216" s="1851"/>
      <c r="AE216" s="188"/>
      <c r="AF216" s="188"/>
      <c r="AG216" s="1866"/>
      <c r="AH216" s="1851"/>
      <c r="AO216" s="13"/>
      <c r="AP216" s="13"/>
    </row>
    <row r="217" spans="1:42" ht="108.75" thickBot="1">
      <c r="A217" s="187"/>
      <c r="B217" s="369" t="s">
        <v>10</v>
      </c>
      <c r="C217" s="370" t="s">
        <v>11</v>
      </c>
      <c r="D217" s="370" t="s">
        <v>12</v>
      </c>
      <c r="E217" s="370" t="s">
        <v>13</v>
      </c>
      <c r="F217" s="370" t="s">
        <v>14</v>
      </c>
      <c r="G217" s="371" t="s">
        <v>15</v>
      </c>
      <c r="H217" s="372" t="s">
        <v>1090</v>
      </c>
      <c r="I217" s="372">
        <f>$C$7</f>
        <v>0.49</v>
      </c>
      <c r="J217" s="394">
        <f>$C$7</f>
        <v>0.49</v>
      </c>
      <c r="K217" s="422" t="s">
        <v>15</v>
      </c>
      <c r="L217" s="423" t="s">
        <v>12</v>
      </c>
      <c r="M217" s="196" t="s">
        <v>1091</v>
      </c>
      <c r="N217" s="549" t="s">
        <v>993</v>
      </c>
      <c r="O217" s="424" t="s">
        <v>1092</v>
      </c>
      <c r="P217" s="772" t="s">
        <v>1092</v>
      </c>
      <c r="Q217" s="200" t="s">
        <v>1093</v>
      </c>
      <c r="R217" s="201" t="s">
        <v>1094</v>
      </c>
      <c r="S217" s="202" t="s">
        <v>1095</v>
      </c>
      <c r="T217" s="203" t="s">
        <v>1095</v>
      </c>
      <c r="U217" s="204" t="s">
        <v>1096</v>
      </c>
      <c r="V217" s="205" t="s">
        <v>1093</v>
      </c>
      <c r="W217" s="206" t="s">
        <v>1094</v>
      </c>
      <c r="X217" s="207" t="s">
        <v>1097</v>
      </c>
      <c r="Y217" s="208">
        <f>$X$33</f>
        <v>0.49</v>
      </c>
      <c r="Z217" s="207" t="s">
        <v>1098</v>
      </c>
      <c r="AA217" s="209" t="s">
        <v>1099</v>
      </c>
      <c r="AB217" s="209" t="s">
        <v>1100</v>
      </c>
      <c r="AC217" s="210" t="s">
        <v>1092</v>
      </c>
      <c r="AD217" s="211" t="s">
        <v>1101</v>
      </c>
      <c r="AE217" s="212" t="s">
        <v>1102</v>
      </c>
      <c r="AF217" s="208" t="s">
        <v>1103</v>
      </c>
      <c r="AG217" s="1867" t="s">
        <v>1104</v>
      </c>
      <c r="AH217" s="213" t="s">
        <v>1116</v>
      </c>
      <c r="AJ217" s="483" t="s">
        <v>1107</v>
      </c>
      <c r="AK217" s="484" t="s">
        <v>1108</v>
      </c>
      <c r="AL217" s="16"/>
      <c r="AM217" s="219" t="s">
        <v>1175</v>
      </c>
      <c r="AN217" s="219" t="s">
        <v>1176</v>
      </c>
      <c r="AO217" s="220" t="s">
        <v>1112</v>
      </c>
      <c r="AP217" s="221" t="s">
        <v>1113</v>
      </c>
    </row>
    <row r="218" spans="1:42" ht="43.5" customHeight="1" thickBot="1">
      <c r="A218" s="271"/>
      <c r="B218" s="753" t="s">
        <v>285</v>
      </c>
      <c r="C218" s="275" t="s">
        <v>190</v>
      </c>
      <c r="D218" s="276">
        <v>120</v>
      </c>
      <c r="E218" s="276">
        <v>25</v>
      </c>
      <c r="F218" s="276">
        <v>100</v>
      </c>
      <c r="G218" s="474">
        <v>131.47661115683255</v>
      </c>
      <c r="H218" s="504">
        <f>G218*(1+$H$33)</f>
        <v>140.67997393781084</v>
      </c>
      <c r="I218" s="504">
        <f>H218-H218*$J$196</f>
        <v>71.746786708283537</v>
      </c>
      <c r="J218" s="764">
        <f>G218-G218*$J$196</f>
        <v>67.053071689984606</v>
      </c>
      <c r="K218" s="773">
        <v>191</v>
      </c>
      <c r="L218" s="758">
        <v>123</v>
      </c>
      <c r="M218" s="759">
        <f>L218/D218*100%</f>
        <v>1.0249999999999999</v>
      </c>
      <c r="N218" s="760">
        <f>K218-(K218*$N$33)</f>
        <v>105.05</v>
      </c>
      <c r="O218" s="774">
        <f>((N218/J218)-1)*100%</f>
        <v>0.56666946572845545</v>
      </c>
      <c r="P218" s="775">
        <f>((N218/I218)-1)*100%</f>
        <v>0.46417707077425718</v>
      </c>
      <c r="Q218" s="762">
        <v>1.4700000000000002</v>
      </c>
      <c r="R218" s="776">
        <f>Q218*$R$33</f>
        <v>69.138510000000011</v>
      </c>
      <c r="S218" s="777">
        <f>((J218-R218)/J218)*100%</f>
        <v>-3.1101309119100314E-2</v>
      </c>
      <c r="T218" s="237">
        <f>((I218-R218)/I218)*100%</f>
        <v>3.6353916711121322E-2</v>
      </c>
      <c r="U218" s="238">
        <v>1.23125</v>
      </c>
      <c r="V218" s="239">
        <f>U218*$X$31</f>
        <v>1.4774999999999998</v>
      </c>
      <c r="W218" s="239">
        <f>V218*$R$33</f>
        <v>69.491257499999989</v>
      </c>
      <c r="X218" s="240">
        <f>(ROUND(W218/(1-$AA$64),0))</f>
        <v>86</v>
      </c>
      <c r="Y218" s="239">
        <f>Z218*(1-$X$33)</f>
        <v>82.62</v>
      </c>
      <c r="Z218" s="240">
        <f>ROUND(X218/(1-$X$32),0)</f>
        <v>162</v>
      </c>
      <c r="AA218" s="241">
        <f>((X218-W218)/X218)*100%</f>
        <v>0.19196212209302338</v>
      </c>
      <c r="AB218" s="241">
        <f>((Y218-W218)/Y218)*100%</f>
        <v>0.15890513798111855</v>
      </c>
      <c r="AC218" s="242">
        <f>((N218/Y218)-1)*100%</f>
        <v>0.27148390220285634</v>
      </c>
      <c r="AD218" s="243">
        <f>((N218*0.96-W218)/(N218*0.96))*100%</f>
        <v>0.31093073238933849</v>
      </c>
      <c r="AE218" s="238">
        <f>N218/$R$33</f>
        <v>2.2335381540620416</v>
      </c>
      <c r="AF218" s="239">
        <f>(V218/(1-$AA$64))</f>
        <v>1.8240740740740737</v>
      </c>
      <c r="AG218" s="1868">
        <v>3.44</v>
      </c>
      <c r="AH218" s="244">
        <f>((AF218-V218)/AF218)*100%</f>
        <v>0.18999999999999995</v>
      </c>
      <c r="AJ218" s="498">
        <f>[1]Статистика!D492</f>
        <v>9009</v>
      </c>
      <c r="AK218" s="76">
        <f>AJ218*Q218*S218</f>
        <v>-411.88178996534288</v>
      </c>
      <c r="AL218" s="16"/>
      <c r="AM218" s="499">
        <f>AJ218/$AJ$235</f>
        <v>0.16523908218851452</v>
      </c>
      <c r="AN218" s="499">
        <f>AK218/$AK$235</f>
        <v>0.38473055785689819</v>
      </c>
      <c r="AO218" s="101">
        <f>AJ218/$AJ$23</f>
        <v>4.2335068746907345E-3</v>
      </c>
      <c r="AP218" s="101">
        <f>AK218/$AK$23</f>
        <v>3.5528917773871294E-3</v>
      </c>
    </row>
    <row r="219" spans="1:42" ht="18.75" customHeight="1">
      <c r="A219" s="271"/>
      <c r="B219" s="413"/>
      <c r="C219" s="413"/>
      <c r="D219" s="414"/>
      <c r="E219" s="414"/>
      <c r="F219" s="414"/>
      <c r="G219" s="415"/>
      <c r="H219" s="416"/>
      <c r="I219" s="416"/>
      <c r="J219" s="417"/>
      <c r="K219" s="778"/>
      <c r="L219" s="779"/>
      <c r="M219" s="780"/>
      <c r="N219" s="781"/>
      <c r="O219" s="782"/>
      <c r="P219" s="782"/>
      <c r="Q219" s="780"/>
      <c r="AO219" s="13"/>
      <c r="AP219" s="13"/>
    </row>
    <row r="220" spans="1:42" ht="18.75" customHeight="1" thickBot="1">
      <c r="A220" s="149" t="s">
        <v>708</v>
      </c>
      <c r="B220" s="783"/>
      <c r="C220" s="2334" t="s">
        <v>707</v>
      </c>
      <c r="D220" s="2334"/>
      <c r="E220" s="2334"/>
      <c r="F220" s="2334"/>
      <c r="G220" s="784"/>
      <c r="H220" s="785"/>
      <c r="I220" s="785"/>
      <c r="J220" s="622"/>
      <c r="K220" s="2309" t="s">
        <v>1182</v>
      </c>
      <c r="L220" s="2309"/>
      <c r="M220" s="2309"/>
      <c r="N220" s="2309"/>
      <c r="O220" s="2309"/>
      <c r="P220" s="1852"/>
      <c r="Q220" s="780"/>
      <c r="R220" s="786"/>
      <c r="S220" s="367"/>
      <c r="T220" s="2310"/>
      <c r="U220" s="2310"/>
      <c r="V220" s="2310"/>
      <c r="W220" s="309"/>
      <c r="X220" s="309"/>
      <c r="Y220" s="309"/>
      <c r="Z220" s="309"/>
      <c r="AA220" s="346">
        <v>0.19</v>
      </c>
      <c r="AB220" s="421"/>
      <c r="AC220" s="1851"/>
      <c r="AD220" s="1851"/>
      <c r="AE220" s="188"/>
      <c r="AF220" s="188"/>
      <c r="AG220" s="1866"/>
      <c r="AH220" s="1851"/>
      <c r="AO220" s="13"/>
      <c r="AP220" s="13"/>
    </row>
    <row r="221" spans="1:42" ht="35.25" customHeight="1" thickBot="1">
      <c r="A221" s="271"/>
      <c r="B221" s="629" t="s">
        <v>10</v>
      </c>
      <c r="C221" s="630" t="s">
        <v>11</v>
      </c>
      <c r="D221" s="631" t="s">
        <v>12</v>
      </c>
      <c r="E221" s="631" t="s">
        <v>13</v>
      </c>
      <c r="F221" s="370" t="s">
        <v>14</v>
      </c>
      <c r="G221" s="632" t="s">
        <v>15</v>
      </c>
      <c r="H221" s="372" t="s">
        <v>1090</v>
      </c>
      <c r="I221" s="372">
        <f>$C$7</f>
        <v>0.49</v>
      </c>
      <c r="J221" s="787">
        <f>$C$7</f>
        <v>0.49</v>
      </c>
      <c r="K221" s="548" t="s">
        <v>15</v>
      </c>
      <c r="L221" s="423" t="s">
        <v>12</v>
      </c>
      <c r="M221" s="196" t="s">
        <v>1091</v>
      </c>
      <c r="N221" s="549" t="s">
        <v>993</v>
      </c>
      <c r="O221" s="424" t="s">
        <v>1092</v>
      </c>
      <c r="P221" s="602" t="s">
        <v>1092</v>
      </c>
      <c r="Q221" s="200" t="s">
        <v>1093</v>
      </c>
      <c r="R221" s="201" t="s">
        <v>1094</v>
      </c>
      <c r="S221" s="202" t="s">
        <v>1095</v>
      </c>
      <c r="T221" s="203" t="s">
        <v>1095</v>
      </c>
      <c r="U221" s="204" t="s">
        <v>1096</v>
      </c>
      <c r="V221" s="205" t="s">
        <v>1093</v>
      </c>
      <c r="W221" s="206" t="s">
        <v>1094</v>
      </c>
      <c r="X221" s="207" t="s">
        <v>1097</v>
      </c>
      <c r="Y221" s="208">
        <f>$X$33</f>
        <v>0.49</v>
      </c>
      <c r="Z221" s="207" t="s">
        <v>1098</v>
      </c>
      <c r="AA221" s="209" t="s">
        <v>1099</v>
      </c>
      <c r="AB221" s="209" t="s">
        <v>1100</v>
      </c>
      <c r="AC221" s="210" t="s">
        <v>1092</v>
      </c>
      <c r="AD221" s="211" t="s">
        <v>1101</v>
      </c>
      <c r="AE221" s="212" t="s">
        <v>1102</v>
      </c>
      <c r="AF221" s="208" t="s">
        <v>1103</v>
      </c>
      <c r="AG221" s="1867" t="s">
        <v>1104</v>
      </c>
      <c r="AH221" s="213" t="s">
        <v>1116</v>
      </c>
      <c r="AJ221" s="483" t="s">
        <v>1107</v>
      </c>
      <c r="AK221" s="484" t="s">
        <v>1108</v>
      </c>
      <c r="AL221" s="16"/>
      <c r="AM221" s="219" t="s">
        <v>1175</v>
      </c>
      <c r="AN221" s="219" t="s">
        <v>1176</v>
      </c>
      <c r="AO221" s="220" t="s">
        <v>1112</v>
      </c>
      <c r="AP221" s="221" t="s">
        <v>1113</v>
      </c>
    </row>
    <row r="222" spans="1:42" ht="18.75" customHeight="1" thickBot="1">
      <c r="A222" s="271"/>
      <c r="B222" s="788" t="s">
        <v>1183</v>
      </c>
      <c r="C222" s="789" t="s">
        <v>1184</v>
      </c>
      <c r="D222" s="790">
        <v>62</v>
      </c>
      <c r="E222" s="791">
        <v>1</v>
      </c>
      <c r="F222" s="276">
        <v>168</v>
      </c>
      <c r="G222" s="792">
        <v>69</v>
      </c>
      <c r="H222" s="504">
        <f>G222*(1+$H$33)</f>
        <v>73.83</v>
      </c>
      <c r="I222" s="504">
        <f>H222-H222*$J$196</f>
        <v>37.653300000000002</v>
      </c>
      <c r="J222" s="793">
        <f>G222-G222*$J$196</f>
        <v>35.19</v>
      </c>
      <c r="K222" s="773">
        <v>90</v>
      </c>
      <c r="L222" s="758">
        <v>62</v>
      </c>
      <c r="M222" s="759">
        <f>L222/D222*100%</f>
        <v>1</v>
      </c>
      <c r="N222" s="760">
        <f>K222-(K222*$O$33)</f>
        <v>45</v>
      </c>
      <c r="O222" s="794">
        <f>((N222/J222)-1)*100%</f>
        <v>0.27877237851662406</v>
      </c>
      <c r="P222" s="795">
        <f>((N222/I222)-1)*100%</f>
        <v>0.19511437244544294</v>
      </c>
      <c r="Q222" s="385">
        <v>0.75</v>
      </c>
      <c r="R222" s="776">
        <f>Q222*$R$33</f>
        <v>35.274749999999997</v>
      </c>
      <c r="S222" s="777">
        <f>((J222-R222)/J222)*100%</f>
        <v>-2.4083546462062991E-3</v>
      </c>
      <c r="T222" s="237">
        <f>((I222-R222)/I222)*100%</f>
        <v>6.3169762012891414E-2</v>
      </c>
      <c r="U222" s="238">
        <v>0.62843000000000004</v>
      </c>
      <c r="V222" s="239">
        <f>U222*$X$31</f>
        <v>0.75411600000000001</v>
      </c>
      <c r="W222" s="239">
        <f>V222*$R$33</f>
        <v>35.468337828000003</v>
      </c>
      <c r="X222" s="240">
        <f>(ROUND(W222/(1-$AA$64),0))</f>
        <v>44</v>
      </c>
      <c r="Y222" s="239">
        <f>Z222*(1-$X$33)</f>
        <v>42.33</v>
      </c>
      <c r="Z222" s="240">
        <f>ROUND(X222/(1-$X$32),0)</f>
        <v>83</v>
      </c>
      <c r="AA222" s="241">
        <f>((X222-W222)/X222)*100%</f>
        <v>0.19390141299999994</v>
      </c>
      <c r="AB222" s="241">
        <f>((Y222-W222)/Y222)*100%</f>
        <v>0.16209927172218275</v>
      </c>
      <c r="AC222" s="242">
        <f>((N222/Y222)-1)*100%</f>
        <v>6.3075832742735649E-2</v>
      </c>
      <c r="AD222" s="243">
        <f>((N222*0.96-W222)/(N222*0.96))*100%</f>
        <v>0.17897366138888873</v>
      </c>
      <c r="AE222" s="238">
        <f>N222/$R$33</f>
        <v>0.95677503029787592</v>
      </c>
      <c r="AF222" s="239">
        <f>(V222/(1-$AA$64))</f>
        <v>0.93100740740740739</v>
      </c>
      <c r="AG222" s="1868">
        <v>1.76</v>
      </c>
      <c r="AH222" s="244">
        <f>((AF222-V222)/AF222)*100%</f>
        <v>0.18999999999999997</v>
      </c>
      <c r="AJ222" s="498">
        <f>[1]Статистика!D361</f>
        <v>3084</v>
      </c>
      <c r="AK222" s="76">
        <f>AJ222*Q222*S222</f>
        <v>-5.5705242966751696</v>
      </c>
      <c r="AL222" s="16"/>
      <c r="AM222" s="499">
        <f>AJ222/$AJ$235</f>
        <v>5.6565360136461178E-2</v>
      </c>
      <c r="AN222" s="499">
        <f>AK222/$AK$235</f>
        <v>5.2033155444807973E-3</v>
      </c>
      <c r="AO222" s="101">
        <f>AJ222/$AJ$23</f>
        <v>1.4492324566040874E-3</v>
      </c>
      <c r="AP222" s="101">
        <f>AK222/$AK$23</f>
        <v>4.8051335241253938E-5</v>
      </c>
    </row>
    <row r="223" spans="1:42" ht="18.75" customHeight="1">
      <c r="A223" s="271"/>
      <c r="B223" s="783"/>
      <c r="C223" s="783"/>
      <c r="D223" s="796"/>
      <c r="E223" s="797"/>
      <c r="F223" s="414"/>
      <c r="G223" s="784"/>
      <c r="H223" s="785"/>
      <c r="I223" s="785"/>
      <c r="J223" s="622"/>
      <c r="K223" s="778"/>
      <c r="L223" s="779"/>
      <c r="M223" s="780"/>
      <c r="N223" s="781"/>
      <c r="O223" s="782"/>
      <c r="P223" s="782"/>
      <c r="Q223" s="780"/>
      <c r="R223" s="786"/>
      <c r="S223" s="367"/>
      <c r="T223" s="367"/>
      <c r="U223" s="366"/>
      <c r="V223" s="366"/>
      <c r="W223" s="366"/>
      <c r="X223" s="366"/>
      <c r="Y223" s="366"/>
      <c r="Z223" s="366"/>
      <c r="AA223" s="367"/>
      <c r="AB223" s="367"/>
      <c r="AC223" s="367"/>
      <c r="AD223" s="367"/>
      <c r="AE223" s="366"/>
      <c r="AF223" s="366"/>
      <c r="AG223" s="1872"/>
      <c r="AH223" s="367"/>
      <c r="AO223" s="13"/>
      <c r="AP223" s="13"/>
    </row>
    <row r="224" spans="1:42" ht="18.75" customHeight="1">
      <c r="A224" s="271"/>
      <c r="B224" s="413"/>
      <c r="C224" s="413"/>
      <c r="D224" s="414"/>
      <c r="E224" s="414"/>
      <c r="F224" s="414"/>
      <c r="G224" s="415"/>
      <c r="H224" s="416"/>
      <c r="I224" s="416"/>
      <c r="J224" s="417"/>
      <c r="K224" s="778"/>
      <c r="L224" s="779"/>
      <c r="M224" s="780"/>
      <c r="N224" s="781"/>
      <c r="O224" s="782"/>
      <c r="P224" s="782"/>
      <c r="Q224" s="780"/>
      <c r="R224" s="786"/>
      <c r="S224" s="367"/>
      <c r="T224" s="367"/>
      <c r="U224" s="366"/>
      <c r="V224" s="366"/>
      <c r="W224" s="366"/>
      <c r="X224" s="366"/>
      <c r="Y224" s="366"/>
      <c r="Z224" s="366"/>
      <c r="AA224" s="367"/>
      <c r="AB224" s="367"/>
      <c r="AC224" s="367"/>
      <c r="AD224" s="367"/>
      <c r="AE224" s="366"/>
      <c r="AF224" s="366"/>
      <c r="AG224" s="1872"/>
      <c r="AH224" s="367"/>
      <c r="AO224" s="13"/>
      <c r="AP224" s="13"/>
    </row>
    <row r="225" spans="1:42" ht="18.75" customHeight="1">
      <c r="A225" s="147" t="s">
        <v>1185</v>
      </c>
      <c r="B225" s="17"/>
      <c r="C225" s="798" t="s">
        <v>726</v>
      </c>
      <c r="D225" s="149"/>
      <c r="E225" s="149"/>
      <c r="F225" s="149"/>
      <c r="G225" s="17"/>
      <c r="J225" s="622"/>
      <c r="K225" s="778"/>
      <c r="L225" s="779"/>
      <c r="M225" s="780"/>
      <c r="N225" s="781"/>
      <c r="O225" s="782"/>
      <c r="P225" s="782"/>
      <c r="Q225" s="780"/>
      <c r="R225" s="786"/>
      <c r="S225" s="367"/>
      <c r="T225" s="367"/>
      <c r="U225" s="366"/>
      <c r="V225" s="366"/>
      <c r="W225" s="366"/>
      <c r="X225" s="366"/>
      <c r="Y225" s="366"/>
      <c r="Z225" s="366"/>
      <c r="AA225" s="367"/>
      <c r="AB225" s="367"/>
      <c r="AC225" s="367"/>
      <c r="AD225" s="367"/>
      <c r="AE225" s="366"/>
      <c r="AF225" s="366"/>
      <c r="AG225" s="1872"/>
      <c r="AH225" s="367"/>
      <c r="AO225" s="13"/>
      <c r="AP225" s="13"/>
    </row>
    <row r="226" spans="1:42" ht="18.75" customHeight="1" thickBot="1">
      <c r="B226" s="17"/>
      <c r="C226" s="620" t="s">
        <v>42</v>
      </c>
      <c r="D226" s="17"/>
      <c r="E226" s="17"/>
      <c r="G226" s="17"/>
      <c r="J226" s="622"/>
      <c r="K226" s="2309" t="s">
        <v>1186</v>
      </c>
      <c r="L226" s="2309"/>
      <c r="M226" s="2309"/>
      <c r="N226" s="2309"/>
      <c r="O226" s="2309"/>
      <c r="P226" s="1852"/>
      <c r="Q226" s="780"/>
      <c r="R226" s="786"/>
      <c r="S226" s="367"/>
      <c r="T226" s="627"/>
      <c r="U226" s="627"/>
      <c r="V226" s="627"/>
      <c r="W226" s="627"/>
      <c r="X226" s="627"/>
      <c r="Y226" s="627"/>
      <c r="Z226" s="627"/>
      <c r="AA226" s="628">
        <v>0.22</v>
      </c>
      <c r="AB226" s="628">
        <v>0.16</v>
      </c>
      <c r="AC226" s="628">
        <v>0.11</v>
      </c>
      <c r="AD226" s="188"/>
      <c r="AE226" s="188"/>
      <c r="AF226" s="188"/>
      <c r="AG226" s="1876"/>
      <c r="AH226" s="1851"/>
      <c r="AO226" s="13"/>
      <c r="AP226" s="13"/>
    </row>
    <row r="227" spans="1:42" ht="63.75" customHeight="1" thickBot="1">
      <c r="B227" s="799" t="s">
        <v>10</v>
      </c>
      <c r="C227" s="800" t="s">
        <v>11</v>
      </c>
      <c r="D227" s="801" t="s">
        <v>12</v>
      </c>
      <c r="E227" s="801" t="s">
        <v>13</v>
      </c>
      <c r="F227" s="802" t="s">
        <v>14</v>
      </c>
      <c r="G227" s="803" t="s">
        <v>15</v>
      </c>
      <c r="H227" s="372" t="s">
        <v>1090</v>
      </c>
      <c r="I227" s="372">
        <f>$C$7</f>
        <v>0.49</v>
      </c>
      <c r="J227" s="787">
        <f>$C$7</f>
        <v>0.49</v>
      </c>
      <c r="K227" s="601" t="s">
        <v>15</v>
      </c>
      <c r="L227" s="315" t="s">
        <v>12</v>
      </c>
      <c r="M227" s="316" t="s">
        <v>1091</v>
      </c>
      <c r="N227" s="605" t="s">
        <v>993</v>
      </c>
      <c r="O227" s="317" t="s">
        <v>1092</v>
      </c>
      <c r="P227" s="602" t="s">
        <v>1092</v>
      </c>
      <c r="Q227" s="200" t="s">
        <v>1093</v>
      </c>
      <c r="R227" s="201" t="s">
        <v>1094</v>
      </c>
      <c r="S227" s="350" t="s">
        <v>1095</v>
      </c>
      <c r="T227" s="203" t="s">
        <v>1095</v>
      </c>
      <c r="U227" s="204" t="s">
        <v>1096</v>
      </c>
      <c r="V227" s="205" t="s">
        <v>1093</v>
      </c>
      <c r="W227" s="206" t="s">
        <v>1094</v>
      </c>
      <c r="X227" s="207" t="s">
        <v>1097</v>
      </c>
      <c r="Y227" s="208">
        <f>$X$33</f>
        <v>0.49</v>
      </c>
      <c r="Z227" s="207" t="s">
        <v>1098</v>
      </c>
      <c r="AA227" s="209" t="s">
        <v>1099</v>
      </c>
      <c r="AB227" s="209" t="s">
        <v>1100</v>
      </c>
      <c r="AC227" s="210" t="s">
        <v>1092</v>
      </c>
      <c r="AD227" s="211" t="s">
        <v>1101</v>
      </c>
      <c r="AE227" s="209" t="s">
        <v>1102</v>
      </c>
      <c r="AF227" s="208" t="s">
        <v>1103</v>
      </c>
      <c r="AG227" s="1867" t="s">
        <v>1104</v>
      </c>
      <c r="AH227" s="213" t="s">
        <v>1116</v>
      </c>
      <c r="AI227" s="218" t="s">
        <v>1106</v>
      </c>
      <c r="AJ227" s="319" t="s">
        <v>1107</v>
      </c>
      <c r="AK227" s="320" t="s">
        <v>1108</v>
      </c>
      <c r="AL227" s="219" t="s">
        <v>1109</v>
      </c>
      <c r="AM227" s="219" t="s">
        <v>1175</v>
      </c>
      <c r="AN227" s="219" t="s">
        <v>1176</v>
      </c>
      <c r="AO227" s="220" t="s">
        <v>1112</v>
      </c>
      <c r="AP227" s="221" t="s">
        <v>1113</v>
      </c>
    </row>
    <row r="228" spans="1:42" ht="18.75" customHeight="1">
      <c r="B228" s="450" t="s">
        <v>1187</v>
      </c>
      <c r="C228" s="451" t="s">
        <v>1188</v>
      </c>
      <c r="D228" s="804">
        <v>37</v>
      </c>
      <c r="E228" s="804">
        <v>25</v>
      </c>
      <c r="F228" s="251">
        <v>500</v>
      </c>
      <c r="G228" s="805">
        <v>38.01638554216867</v>
      </c>
      <c r="H228" s="504">
        <f>G228*(1+$H$33)</f>
        <v>40.67753253012048</v>
      </c>
      <c r="I228" s="504">
        <f>H228-H228*$J$196</f>
        <v>20.745541590361444</v>
      </c>
      <c r="J228" s="806">
        <f>G228-G228*$J$196</f>
        <v>19.388356626506024</v>
      </c>
      <c r="K228" s="807">
        <v>50</v>
      </c>
      <c r="L228" s="808">
        <v>37</v>
      </c>
      <c r="M228" s="809">
        <f>L228/D228*100%</f>
        <v>1</v>
      </c>
      <c r="N228" s="765">
        <f>K228-(K228*$O$33)</f>
        <v>25</v>
      </c>
      <c r="O228" s="810">
        <f>((N228/J228)-1)*100%</f>
        <v>0.28943367824286037</v>
      </c>
      <c r="P228" s="472">
        <f>((N228/I228)-1)*100%</f>
        <v>0.20507820396529031</v>
      </c>
      <c r="Q228" s="697">
        <v>0.46</v>
      </c>
      <c r="R228" s="258">
        <f>Q228*$R$33</f>
        <v>21.635180000000002</v>
      </c>
      <c r="S228" s="232">
        <f>((J228-R228)/J228)*100%</f>
        <v>-0.11588518907385489</v>
      </c>
      <c r="T228" s="237">
        <f>((I228-R228)/I228)*100%</f>
        <v>-4.2883354274630796E-2</v>
      </c>
      <c r="U228" s="238">
        <v>0.37430000000000002</v>
      </c>
      <c r="V228" s="239">
        <f>U228*$X$31</f>
        <v>0.44916</v>
      </c>
      <c r="W228" s="239">
        <f>V228*$R$33</f>
        <v>21.125342280000002</v>
      </c>
      <c r="X228" s="240">
        <f>(ROUND(W228/(1-$AB$226),0))</f>
        <v>25</v>
      </c>
      <c r="Y228" s="239">
        <f>Z228*(1-$X$33)</f>
        <v>23.97</v>
      </c>
      <c r="Z228" s="240">
        <f>ROUND(X228/(1-$X$32),0)</f>
        <v>47</v>
      </c>
      <c r="AA228" s="241">
        <f>((X228-W228)/X228)*100%</f>
        <v>0.15498630879999994</v>
      </c>
      <c r="AB228" s="241">
        <f>((Y228-W228)/Y228)*100%</f>
        <v>0.11867574968710877</v>
      </c>
      <c r="AC228" s="243">
        <f>((N228/Y228)-1)*100%</f>
        <v>4.2970379641218193E-2</v>
      </c>
      <c r="AD228" s="243">
        <f>((N228*0.96-W228)/(N228*0.96))*100%</f>
        <v>0.11977740499999993</v>
      </c>
      <c r="AE228" s="241">
        <f>N228/$R$33</f>
        <v>0.53154168349881992</v>
      </c>
      <c r="AF228" s="239">
        <f>(V228/(1-$AB$226))</f>
        <v>0.5347142857142857</v>
      </c>
      <c r="AG228" s="1868">
        <v>1</v>
      </c>
      <c r="AH228" s="244">
        <f>((AF228-V228)/AF228)*100%</f>
        <v>0.15999999999999998</v>
      </c>
      <c r="AI228" s="502">
        <f>AJ228/$AJ$233</f>
        <v>0.13776036296143535</v>
      </c>
      <c r="AJ228" s="503">
        <f>[1]Статистика!D325</f>
        <v>1336</v>
      </c>
      <c r="AK228" s="663">
        <f>AJ228*Q228*S228</f>
        <v>-71.218401797228267</v>
      </c>
      <c r="AL228" s="811">
        <f>AK228/$AK$233</f>
        <v>0.13112329370615186</v>
      </c>
      <c r="AM228" s="502">
        <f>AJ228/$AJ$235</f>
        <v>2.4504319436547385E-2</v>
      </c>
      <c r="AN228" s="502">
        <f>AK228/$AK$235</f>
        <v>6.6523687428448525E-2</v>
      </c>
      <c r="AO228" s="77">
        <f>AJ228/$AJ$23</f>
        <v>6.2781276330190036E-4</v>
      </c>
      <c r="AP228" s="77">
        <f>AK228/$AK$23</f>
        <v>6.1432984003812353E-4</v>
      </c>
    </row>
    <row r="229" spans="1:42" ht="18.75" customHeight="1">
      <c r="B229" s="812" t="s">
        <v>1189</v>
      </c>
      <c r="C229" s="451" t="s">
        <v>1190</v>
      </c>
      <c r="D229" s="804">
        <v>40</v>
      </c>
      <c r="E229" s="804">
        <v>25</v>
      </c>
      <c r="F229" s="251">
        <v>500</v>
      </c>
      <c r="G229" s="805">
        <v>41.098795180722888</v>
      </c>
      <c r="H229" s="504">
        <f>G229*(1+$H$33)</f>
        <v>43.975710843373491</v>
      </c>
      <c r="I229" s="504">
        <f>H229-H229*$J$196</f>
        <v>22.427612530120481</v>
      </c>
      <c r="J229" s="806">
        <f>G229-G229*$J$196</f>
        <v>20.960385542168673</v>
      </c>
      <c r="K229" s="254">
        <v>54</v>
      </c>
      <c r="L229" s="322">
        <v>40</v>
      </c>
      <c r="M229" s="323">
        <f>L229/D229*100%</f>
        <v>1</v>
      </c>
      <c r="N229" s="765">
        <f>K229-(K229*$O$33)</f>
        <v>27</v>
      </c>
      <c r="O229" s="386">
        <f>((N229/J229)-1)*100%</f>
        <v>0.28814424456461762</v>
      </c>
      <c r="P229" s="472">
        <f>((N229/I229)-1)*100%</f>
        <v>0.20387312576132488</v>
      </c>
      <c r="Q229" s="702">
        <v>0.48999999999999994</v>
      </c>
      <c r="R229" s="258">
        <f>Q229*$R$33</f>
        <v>23.046169999999996</v>
      </c>
      <c r="S229" s="232">
        <f>((J229-R229)/J229)*100%</f>
        <v>-9.9510786842879659E-2</v>
      </c>
      <c r="T229" s="260">
        <f>((I229-R229)/I229)*100%</f>
        <v>-2.7580174619513675E-2</v>
      </c>
      <c r="U229" s="238">
        <v>0.40483499999999994</v>
      </c>
      <c r="V229" s="239">
        <f>U229*$X$31</f>
        <v>0.4858019999999999</v>
      </c>
      <c r="W229" s="239">
        <f>V229*$R$33</f>
        <v>22.848725465999998</v>
      </c>
      <c r="X229" s="240">
        <f>(ROUND(W229/(1-$AB$226),0))</f>
        <v>27</v>
      </c>
      <c r="Y229" s="239">
        <f>Z229*(1-$X$33)</f>
        <v>26.01</v>
      </c>
      <c r="Z229" s="240">
        <f>ROUND(X229/(1-$X$32),0)</f>
        <v>51</v>
      </c>
      <c r="AA229" s="241">
        <f>((X229-W229)/X229)*100%</f>
        <v>0.15375090866666674</v>
      </c>
      <c r="AB229" s="241">
        <f>((Y229-W229)/Y229)*100%</f>
        <v>0.12154073564013855</v>
      </c>
      <c r="AC229" s="243">
        <f>((N229/Y229)-1)*100%</f>
        <v>3.8062283737024138E-2</v>
      </c>
      <c r="AD229" s="243">
        <f>((N229*0.96-W229)/(N229*0.96))*100%</f>
        <v>0.11849052986111114</v>
      </c>
      <c r="AE229" s="241">
        <f>N229/$R$33</f>
        <v>0.57406501817872557</v>
      </c>
      <c r="AF229" s="239">
        <f>(V229/(1-$AB$226))</f>
        <v>0.57833571428571418</v>
      </c>
      <c r="AG229" s="1868">
        <v>1.0900000000000001</v>
      </c>
      <c r="AH229" s="244">
        <f>((AF229-V229)/AF229)*100%</f>
        <v>0.16</v>
      </c>
      <c r="AI229" s="502">
        <f>AJ229/$AJ$233</f>
        <v>0.19560734171994226</v>
      </c>
      <c r="AJ229" s="503">
        <f>[1]Статистика!D326</f>
        <v>1897</v>
      </c>
      <c r="AK229" s="663">
        <f>AJ229*Q229*S229</f>
        <v>-92.49826169406191</v>
      </c>
      <c r="AL229" s="811">
        <f>AK229/$AK$233</f>
        <v>0.17030256828777937</v>
      </c>
      <c r="AM229" s="502">
        <f>AJ229/$AJ$235</f>
        <v>3.4793932613121546E-2</v>
      </c>
      <c r="AN229" s="502">
        <f>AK229/$AK$235</f>
        <v>8.6400779760970256E-2</v>
      </c>
      <c r="AO229" s="77">
        <f>AJ229/$AJ$23</f>
        <v>8.9143773352073734E-4</v>
      </c>
      <c r="AP229" s="77">
        <f>AK229/$AK$23</f>
        <v>7.9788988346167966E-4</v>
      </c>
    </row>
    <row r="230" spans="1:42" ht="18.75" customHeight="1">
      <c r="B230" s="812" t="s">
        <v>1191</v>
      </c>
      <c r="C230" s="451" t="s">
        <v>1192</v>
      </c>
      <c r="D230" s="804">
        <v>46</v>
      </c>
      <c r="E230" s="804">
        <v>25</v>
      </c>
      <c r="F230" s="251">
        <v>500</v>
      </c>
      <c r="G230" s="805">
        <v>47.263614457831331</v>
      </c>
      <c r="H230" s="504">
        <f>G230*(1+$H$33)</f>
        <v>50.572067469879528</v>
      </c>
      <c r="I230" s="504">
        <f>H230-H230*$J$196</f>
        <v>25.79175440963856</v>
      </c>
      <c r="J230" s="806">
        <f>G230-G230*$J$196</f>
        <v>24.104443373493979</v>
      </c>
      <c r="K230" s="254">
        <v>58</v>
      </c>
      <c r="L230" s="322">
        <v>46</v>
      </c>
      <c r="M230" s="335">
        <f>L230/D230*100%</f>
        <v>1</v>
      </c>
      <c r="N230" s="765">
        <f>K230-(K230*$O$33)</f>
        <v>29</v>
      </c>
      <c r="O230" s="386">
        <f>((N230/J230)-1)*100%</f>
        <v>0.20309768413442542</v>
      </c>
      <c r="P230" s="472">
        <f>((N230/I230)-1)*100%</f>
        <v>0.12439035900413575</v>
      </c>
      <c r="Q230" s="703">
        <v>0.56000000000000005</v>
      </c>
      <c r="R230" s="258">
        <f>Q230*$R$33</f>
        <v>26.338480000000004</v>
      </c>
      <c r="S230" s="232">
        <f>((J230-R230)/J230)*100%</f>
        <v>-9.2681527297271832E-2</v>
      </c>
      <c r="T230" s="260">
        <f>((I230-R230)/I230)*100%</f>
        <v>-2.1197689062870746E-2</v>
      </c>
      <c r="U230" s="238">
        <v>0.46590499999999996</v>
      </c>
      <c r="V230" s="239">
        <f>U230*$X$31</f>
        <v>0.55908599999999997</v>
      </c>
      <c r="W230" s="239">
        <f>V230*$R$33</f>
        <v>26.295491838</v>
      </c>
      <c r="X230" s="240">
        <f>(ROUND(W230/(1-$AC$226),0))</f>
        <v>30</v>
      </c>
      <c r="Y230" s="239">
        <f>Z230*(1-$X$33)</f>
        <v>29.07</v>
      </c>
      <c r="Z230" s="240">
        <f>ROUND(X230/(1-$X$32),0)</f>
        <v>57</v>
      </c>
      <c r="AA230" s="241">
        <f>((X230-W230)/X230)*100%</f>
        <v>0.12348360539999999</v>
      </c>
      <c r="AB230" s="241">
        <f>((Y230-W230)/Y230)*100%</f>
        <v>9.5442317234262122E-2</v>
      </c>
      <c r="AC230" s="243">
        <f>((N230/Y230)-1)*100%</f>
        <v>-2.4079807361541139E-3</v>
      </c>
      <c r="AD230" s="243">
        <f>((N230*0.96-W230)/(N230*0.96))*100%</f>
        <v>5.5478023060344814E-2</v>
      </c>
      <c r="AE230" s="241">
        <f>N230/$R$33</f>
        <v>0.61658835285863112</v>
      </c>
      <c r="AF230" s="239">
        <f>(V230/(1-$AC$226))</f>
        <v>0.62818651685393256</v>
      </c>
      <c r="AG230" s="1868">
        <v>1.19</v>
      </c>
      <c r="AH230" s="244">
        <f>((AF230-V230)/AF230)*100%</f>
        <v>0.11000000000000001</v>
      </c>
      <c r="AI230" s="502">
        <f>AJ230/$AJ$233</f>
        <v>0.21653949267890288</v>
      </c>
      <c r="AJ230" s="503">
        <v>2100</v>
      </c>
      <c r="AK230" s="663">
        <f>AJ230*Q230*S230</f>
        <v>-108.99347610159167</v>
      </c>
      <c r="AL230" s="811">
        <f>AK230/$AK$233</f>
        <v>0.20067262418516754</v>
      </c>
      <c r="AM230" s="502">
        <f>AJ230/$AJ$235</f>
        <v>3.8517268575411309E-2</v>
      </c>
      <c r="AN230" s="502">
        <f>AK230/$AK$235</f>
        <v>0.1018086302549483</v>
      </c>
      <c r="AO230" s="77">
        <f>AJ230/$AJ$23</f>
        <v>9.8683143932184938E-4</v>
      </c>
      <c r="AP230" s="77">
        <f>AK230/$AK$23</f>
        <v>9.4017758120059031E-4</v>
      </c>
    </row>
    <row r="231" spans="1:42" ht="18.75" customHeight="1">
      <c r="B231" s="450" t="s">
        <v>1193</v>
      </c>
      <c r="C231" s="451" t="s">
        <v>1194</v>
      </c>
      <c r="D231" s="804">
        <v>46</v>
      </c>
      <c r="E231" s="804">
        <v>25</v>
      </c>
      <c r="F231" s="251">
        <v>500</v>
      </c>
      <c r="G231" s="805">
        <v>47.263614457831331</v>
      </c>
      <c r="H231" s="504">
        <f>G231*(1+$H$33)</f>
        <v>50.572067469879528</v>
      </c>
      <c r="I231" s="504">
        <f>H231-H231*$J$196</f>
        <v>25.79175440963856</v>
      </c>
      <c r="J231" s="806">
        <f>G231-G231*$J$196</f>
        <v>24.104443373493979</v>
      </c>
      <c r="K231" s="254">
        <v>78</v>
      </c>
      <c r="L231" s="322">
        <v>45</v>
      </c>
      <c r="M231" s="323">
        <f>L231/D231*100%</f>
        <v>0.97826086956521741</v>
      </c>
      <c r="N231" s="765">
        <f>K231-(K231*$O$33)</f>
        <v>39</v>
      </c>
      <c r="O231" s="386">
        <f>((N231/J231)-1)*100%</f>
        <v>0.61795895452560634</v>
      </c>
      <c r="P231" s="472">
        <f>((N231/I231)-1)*100%</f>
        <v>0.51211117245383764</v>
      </c>
      <c r="Q231" s="702">
        <v>0.56000000000000005</v>
      </c>
      <c r="R231" s="258">
        <f>Q231*$R$33</f>
        <v>26.338480000000004</v>
      </c>
      <c r="S231" s="232">
        <f>((J231-R231)/J231)*100%</f>
        <v>-9.2681527297271832E-2</v>
      </c>
      <c r="T231" s="260">
        <f>((I231-R231)/I231)*100%</f>
        <v>-2.1197689062870746E-2</v>
      </c>
      <c r="U231" s="238">
        <v>0.46590499999999996</v>
      </c>
      <c r="V231" s="239">
        <f>U231*$X$31</f>
        <v>0.55908599999999997</v>
      </c>
      <c r="W231" s="239">
        <f>V231*$R$33</f>
        <v>26.295491838</v>
      </c>
      <c r="X231" s="240">
        <f>(ROUND(W231/(1-$AA$226),0))</f>
        <v>34</v>
      </c>
      <c r="Y231" s="239">
        <f>Z231*(1-$X$33)</f>
        <v>32.64</v>
      </c>
      <c r="Z231" s="240">
        <f>ROUND(X231/(1-$X$32),0)</f>
        <v>64</v>
      </c>
      <c r="AA231" s="241">
        <f>((X231-W231)/X231)*100%</f>
        <v>0.2266031812352941</v>
      </c>
      <c r="AB231" s="241">
        <f>((Y231-W231)/Y231)*100%</f>
        <v>0.19437831378676471</v>
      </c>
      <c r="AC231" s="243">
        <f>((N231/Y231)-1)*100%</f>
        <v>0.19485294117647056</v>
      </c>
      <c r="AD231" s="243">
        <f>((N231*0.96-W231)/(N231*0.96))*100%</f>
        <v>0.29766314535256405</v>
      </c>
      <c r="AE231" s="241">
        <f>N231/$R$33</f>
        <v>0.82920502625815917</v>
      </c>
      <c r="AF231" s="239">
        <f>(V231/(1-$AA$226))</f>
        <v>0.71677692307692298</v>
      </c>
      <c r="AG231" s="1868">
        <v>1.35</v>
      </c>
      <c r="AH231" s="244">
        <f>((AF231-V231)/AF231)*100%</f>
        <v>0.21999999999999995</v>
      </c>
      <c r="AI231" s="50">
        <f>AJ231/$AJ$233</f>
        <v>0.27448958548154256</v>
      </c>
      <c r="AJ231" s="354">
        <v>2662</v>
      </c>
      <c r="AK231" s="355">
        <f>AJ231*Q231*S231</f>
        <v>-138.16220637258908</v>
      </c>
      <c r="AL231" s="652">
        <f>AK231/$AK$233</f>
        <v>0.25437644075281718</v>
      </c>
      <c r="AM231" s="50">
        <f>AJ231/$AJ$235</f>
        <v>4.8825223308449954E-2</v>
      </c>
      <c r="AN231" s="50">
        <f>AK231/$AK$235</f>
        <v>0.12905455892317733</v>
      </c>
      <c r="AO231" s="77">
        <f>AJ231/$AJ$23</f>
        <v>1.2509263292736967E-3</v>
      </c>
      <c r="AP231" s="77">
        <f>AK231/$AK$23</f>
        <v>1.1917870100742723E-3</v>
      </c>
    </row>
    <row r="232" spans="1:42" ht="18.75" customHeight="1" thickBot="1">
      <c r="B232" s="812" t="s">
        <v>1195</v>
      </c>
      <c r="C232" s="451" t="s">
        <v>1196</v>
      </c>
      <c r="D232" s="804">
        <v>55</v>
      </c>
      <c r="E232" s="804">
        <v>25</v>
      </c>
      <c r="F232" s="251">
        <v>300</v>
      </c>
      <c r="G232" s="805">
        <v>62.675662650602412</v>
      </c>
      <c r="H232" s="504">
        <f>G232*(1+$H$33)</f>
        <v>67.062959036144591</v>
      </c>
      <c r="I232" s="504">
        <f>H232-H232*$J$196</f>
        <v>34.202109108433739</v>
      </c>
      <c r="J232" s="806">
        <f>G232-G232*$J$196</f>
        <v>31.964587951807232</v>
      </c>
      <c r="K232" s="279">
        <v>82</v>
      </c>
      <c r="L232" s="341">
        <v>61</v>
      </c>
      <c r="M232" s="342">
        <f>L232/D232*100%</f>
        <v>1.1090909090909091</v>
      </c>
      <c r="N232" s="765">
        <f>K232-(K232*$O$33)</f>
        <v>41</v>
      </c>
      <c r="O232" s="715">
        <f>((N232/J232)-1)*100%</f>
        <v>0.28266943599634042</v>
      </c>
      <c r="P232" s="472">
        <f>((N232/I232)-1)*100%</f>
        <v>0.19875648223957043</v>
      </c>
      <c r="Q232" s="702">
        <v>0.75</v>
      </c>
      <c r="R232" s="258">
        <f>Q232*$R$33</f>
        <v>35.274749999999997</v>
      </c>
      <c r="S232" s="232">
        <f>((J232-R232)/J232)*100%</f>
        <v>-0.10355716310760744</v>
      </c>
      <c r="T232" s="260">
        <f>((I232-R232)/I232)*100%</f>
        <v>-3.1361834680006952E-2</v>
      </c>
      <c r="U232" s="238">
        <v>0.61660999999999999</v>
      </c>
      <c r="V232" s="239">
        <f>U232*$X$31</f>
        <v>0.73993199999999992</v>
      </c>
      <c r="W232" s="239">
        <f>V232*$R$33</f>
        <v>34.801221755999997</v>
      </c>
      <c r="X232" s="240">
        <f>(ROUND(W232/(1-$AB$226),0))</f>
        <v>41</v>
      </c>
      <c r="Y232" s="239">
        <f>Z232*(1-$X$33)</f>
        <v>39.270000000000003</v>
      </c>
      <c r="Z232" s="240">
        <f>ROUND(X232/(1-$X$32),0)</f>
        <v>77</v>
      </c>
      <c r="AA232" s="241">
        <f>((X232-W232)/X232)*100%</f>
        <v>0.15118971326829275</v>
      </c>
      <c r="AB232" s="241">
        <f>((Y232-W232)/Y232)*100%</f>
        <v>0.11379623743315523</v>
      </c>
      <c r="AC232" s="243">
        <f>((N232/Y232)-1)*100%</f>
        <v>4.4053985230455783E-2</v>
      </c>
      <c r="AD232" s="243">
        <f>((N232*0.96-W232)/(N232*0.96))*100%</f>
        <v>0.11582261798780495</v>
      </c>
      <c r="AE232" s="241">
        <f>N232/$R$33</f>
        <v>0.87172836093806472</v>
      </c>
      <c r="AF232" s="239">
        <f>(V232/(1-$AB$226))</f>
        <v>0.88087142857142853</v>
      </c>
      <c r="AG232" s="1868">
        <v>1.66</v>
      </c>
      <c r="AH232" s="244">
        <f>((AF232-V232)/AF232)*100%</f>
        <v>0.16000000000000006</v>
      </c>
      <c r="AI232" s="502">
        <f>AJ232/$AJ$233</f>
        <v>0.17560321715817695</v>
      </c>
      <c r="AJ232" s="503">
        <v>1703</v>
      </c>
      <c r="AK232" s="663">
        <f>AJ232*Q232*S232</f>
        <v>-132.2683865791916</v>
      </c>
      <c r="AL232" s="811">
        <f>AK232/$AK$233</f>
        <v>0.24352507306808396</v>
      </c>
      <c r="AM232" s="502">
        <f>AJ232/$AJ$235</f>
        <v>3.1235670659012123E-2</v>
      </c>
      <c r="AN232" s="502">
        <f>AK232/$AK$235</f>
        <v>0.12354925950896278</v>
      </c>
      <c r="AO232" s="77">
        <f>AJ232/$AJ$23</f>
        <v>8.0027330531671885E-4</v>
      </c>
      <c r="AP232" s="77">
        <f>AK232/$AK$23</f>
        <v>1.1409469283043903E-3</v>
      </c>
    </row>
    <row r="233" spans="1:42" ht="18.75" customHeight="1" thickBot="1">
      <c r="B233" s="813"/>
      <c r="C233" s="783"/>
      <c r="D233" s="796"/>
      <c r="E233" s="796"/>
      <c r="F233" s="414"/>
      <c r="G233" s="814"/>
      <c r="H233" s="416"/>
      <c r="I233" s="416"/>
      <c r="J233" s="814"/>
      <c r="K233" s="815"/>
      <c r="L233" s="779"/>
      <c r="M233" s="816"/>
      <c r="N233" s="781"/>
      <c r="O233" s="817"/>
      <c r="P233" s="818"/>
      <c r="Q233" s="819"/>
      <c r="R233" s="820"/>
      <c r="S233" s="821"/>
      <c r="T233" s="818"/>
      <c r="U233" s="2331" t="s">
        <v>65</v>
      </c>
      <c r="V233" s="2331"/>
      <c r="W233" s="2331"/>
      <c r="X233" s="2331"/>
      <c r="Y233" s="2331"/>
      <c r="Z233" s="2331"/>
      <c r="AA233" s="727"/>
      <c r="AB233" s="727"/>
      <c r="AC233" s="727"/>
      <c r="AD233" s="728">
        <f>AVERAGE(AD228:AD232)</f>
        <v>0.14144634425236496</v>
      </c>
      <c r="AE233" s="729"/>
      <c r="AF233" s="729"/>
      <c r="AG233" s="1877"/>
      <c r="AH233" s="728"/>
      <c r="AI233" s="512">
        <f>S228*AI228+S229*AI229+S230*AI230+S231*AI231+S232*AI232</f>
        <v>-9.9123722108215795E-2</v>
      </c>
      <c r="AJ233" s="822">
        <f>SUM(AJ228:AJ232)</f>
        <v>9698</v>
      </c>
      <c r="AK233" s="823">
        <f>SUM(AK228:AK232)</f>
        <v>-543.14073254466257</v>
      </c>
      <c r="AL233" s="824"/>
      <c r="AM233" s="825">
        <f>SUM(AM228:AM232)</f>
        <v>0.1778764145925423</v>
      </c>
      <c r="AN233" s="825">
        <f>SUM(AN228:AN232)</f>
        <v>0.5073369158765072</v>
      </c>
      <c r="AO233" s="826">
        <f>SUM(AO228:AO232)</f>
        <v>4.5572815707349027E-3</v>
      </c>
      <c r="AP233" s="826">
        <f>SUM(AP228:AP232)</f>
        <v>4.6851312430790555E-3</v>
      </c>
    </row>
    <row r="234" spans="1:42" ht="21" customHeight="1" thickBot="1">
      <c r="B234" s="2"/>
      <c r="C234" s="413"/>
      <c r="D234" s="414"/>
      <c r="E234" s="414"/>
      <c r="F234" s="414"/>
      <c r="G234" s="827"/>
      <c r="H234" s="785"/>
      <c r="I234" s="785"/>
      <c r="J234" s="828"/>
      <c r="O234" s="152">
        <f>AVERAGE(O228:O232)</f>
        <v>0.33626079949277005</v>
      </c>
      <c r="P234" s="829">
        <f>AVERAGE(P197,P202,P207:P208,P214,P218,P222,P228:P232)</f>
        <v>0.30594000000078686</v>
      </c>
      <c r="R234" s="1856" t="s">
        <v>1133</v>
      </c>
      <c r="S234" s="830">
        <f>AVERAGE(S197,S202,S207:S208,S214,S218,S222,S228:S232)</f>
        <v>-4.7602222484500072E-2</v>
      </c>
      <c r="T234" s="831">
        <f>AVERAGE(T197,T202,T207:T208,T214,T218,T222,T228:T232)</f>
        <v>2.0932502350934596E-2</v>
      </c>
      <c r="U234" s="2332"/>
      <c r="V234" s="2332"/>
      <c r="W234" s="2332"/>
      <c r="X234" s="2332"/>
      <c r="Y234" s="2332"/>
      <c r="Z234" s="2332"/>
      <c r="AA234" s="617">
        <f>AVERAGE(AA197,AA202,AA207:AA208,AA214,AA218,AA222,AA228:AA232)</f>
        <v>0.17911339891681075</v>
      </c>
      <c r="AB234" s="617">
        <f>AVERAGE(AB197,AB202,AB207:AB208,AB214,AB218,AB222,AB228:AB232)</f>
        <v>0.14672159609015337</v>
      </c>
      <c r="AC234" s="617">
        <f>AVERAGE(AC197,AC202,AC207:AC208,AC214,AC218,AC222,AC228:AC232)</f>
        <v>0.14121565368720476</v>
      </c>
      <c r="AD234" s="832"/>
      <c r="AE234" s="833"/>
      <c r="AF234" s="833"/>
      <c r="AG234" s="1880"/>
      <c r="AH234" s="617">
        <f>AVERAGE(AH197,AH202,AH207:AH208,AH214,AH218,AH222,AH228:AH232)</f>
        <v>0.17833333333333332</v>
      </c>
      <c r="AI234" s="2335" t="s">
        <v>1197</v>
      </c>
      <c r="AJ234" s="2336"/>
      <c r="AK234" s="2336"/>
      <c r="AL234" s="2336"/>
      <c r="AM234" s="2336"/>
      <c r="AN234" s="2337"/>
    </row>
    <row r="235" spans="1:42" s="619" customFormat="1" ht="19.5" thickBot="1">
      <c r="A235" s="834" t="s">
        <v>1198</v>
      </c>
      <c r="B235" s="835"/>
      <c r="C235" s="148"/>
      <c r="D235" s="148"/>
      <c r="E235" s="148"/>
      <c r="F235" s="158" t="s">
        <v>1077</v>
      </c>
      <c r="G235" s="148"/>
      <c r="H235" s="149"/>
      <c r="I235" s="150"/>
      <c r="J235" s="6"/>
      <c r="K235" s="7"/>
      <c r="L235" s="8"/>
      <c r="M235" s="151"/>
      <c r="N235" s="10"/>
      <c r="O235" s="152"/>
      <c r="P235" s="152"/>
      <c r="Q235" s="836"/>
      <c r="U235" s="837"/>
      <c r="V235" s="837"/>
      <c r="W235" s="837"/>
      <c r="X235" s="837"/>
      <c r="Y235" s="837"/>
      <c r="Z235" s="837"/>
      <c r="AE235" s="837"/>
      <c r="AF235" s="837"/>
      <c r="AG235" s="1881"/>
      <c r="AI235" s="838">
        <f>AVERAGE(S197,S202,AI209,S214,S218,S222,AI233)</f>
        <v>-1.6508311022804385E-2</v>
      </c>
      <c r="AJ235" s="839">
        <f>SUM(AJ197,AJ202,AJ209,AJ214,AJ218,AJ222,AJ233)</f>
        <v>54521</v>
      </c>
      <c r="AK235" s="840">
        <f>SUM(AK197,AK202,AK209,AK214,AK218,AK222,AK233)</f>
        <v>-1070.5720706452012</v>
      </c>
      <c r="AL235" s="841"/>
      <c r="AM235" s="842">
        <f>SUM(AM197,AM202,AM209,AM214,AM218,AM222,AM233)</f>
        <v>1</v>
      </c>
      <c r="AN235" s="842">
        <f>SUM(AN197,AN202,AN209,AN214,AN218,AN222,AN233)</f>
        <v>1</v>
      </c>
      <c r="AO235" s="143">
        <f>SUM(AO197,AO202,AO209,AO214,AO218,AO222,AO233)</f>
        <v>2.5620493763460265E-2</v>
      </c>
      <c r="AP235" s="843">
        <f>SUM(AP197,AP202,AP209,AP214,AP218,AP222,AP233)</f>
        <v>9.2347532703878406E-3</v>
      </c>
    </row>
    <row r="236" spans="1:42">
      <c r="A236" s="749" t="s">
        <v>1</v>
      </c>
      <c r="E236" s="157"/>
      <c r="AO236" s="13"/>
      <c r="AP236" s="13"/>
    </row>
    <row r="237" spans="1:42" ht="66.75" customHeight="1">
      <c r="A237" s="2323" t="s">
        <v>1199</v>
      </c>
      <c r="B237" s="2323"/>
      <c r="C237" s="2323"/>
      <c r="D237" s="2323"/>
      <c r="E237" s="2323"/>
      <c r="F237" s="2323"/>
      <c r="G237" s="2323"/>
      <c r="H237" s="623"/>
      <c r="I237" s="624"/>
      <c r="J237" s="750"/>
      <c r="AO237" s="13"/>
      <c r="AP237" s="13"/>
    </row>
    <row r="238" spans="1:42">
      <c r="A238" s="749" t="s">
        <v>2</v>
      </c>
      <c r="E238" s="157"/>
      <c r="O238" s="2330" t="s">
        <v>1200</v>
      </c>
      <c r="P238" s="2330"/>
      <c r="Q238" s="2330"/>
      <c r="AO238" s="13"/>
      <c r="AP238" s="13"/>
    </row>
    <row r="239" spans="1:42">
      <c r="A239" s="187" t="s">
        <v>117</v>
      </c>
      <c r="B239" s="156"/>
      <c r="E239" s="157"/>
      <c r="O239" s="844">
        <v>0.9</v>
      </c>
      <c r="P239" s="845"/>
      <c r="Q239" s="846">
        <f t="shared" ref="Q239:Q244" si="123">O239*1.2</f>
        <v>1.08</v>
      </c>
      <c r="AO239" s="13"/>
      <c r="AP239" s="13"/>
    </row>
    <row r="240" spans="1:42">
      <c r="A240" s="187" t="s">
        <v>1201</v>
      </c>
      <c r="E240" s="157"/>
      <c r="O240" s="844">
        <v>1.28</v>
      </c>
      <c r="P240" s="845"/>
      <c r="Q240" s="846">
        <f t="shared" si="123"/>
        <v>1.536</v>
      </c>
      <c r="AO240" s="13"/>
      <c r="AP240" s="13"/>
    </row>
    <row r="241" spans="1:42">
      <c r="A241" s="749" t="s">
        <v>5</v>
      </c>
      <c r="E241" s="157"/>
      <c r="O241" s="844">
        <v>1.86</v>
      </c>
      <c r="P241" s="845"/>
      <c r="Q241" s="846">
        <f t="shared" si="123"/>
        <v>2.2320000000000002</v>
      </c>
      <c r="AO241" s="13"/>
      <c r="AP241" s="13"/>
    </row>
    <row r="242" spans="1:42">
      <c r="A242" s="751" t="s">
        <v>1202</v>
      </c>
      <c r="B242" s="156"/>
      <c r="E242" s="157"/>
      <c r="O242" s="844">
        <v>2.91</v>
      </c>
      <c r="P242" s="845"/>
      <c r="Q242" s="846">
        <f t="shared" si="123"/>
        <v>3.492</v>
      </c>
      <c r="AO242" s="13"/>
      <c r="AP242" s="13"/>
    </row>
    <row r="243" spans="1:42">
      <c r="A243" s="751" t="s">
        <v>1203</v>
      </c>
      <c r="B243" s="162"/>
      <c r="O243" s="844">
        <v>4.26</v>
      </c>
      <c r="P243" s="845"/>
      <c r="Q243" s="846">
        <f t="shared" si="123"/>
        <v>5.1119999999999992</v>
      </c>
      <c r="AO243" s="13"/>
      <c r="AP243" s="13"/>
    </row>
    <row r="244" spans="1:42">
      <c r="A244" s="751"/>
      <c r="B244" s="162"/>
      <c r="M244" s="847"/>
      <c r="N244" s="848"/>
      <c r="O244" s="844">
        <v>5.74</v>
      </c>
      <c r="P244" s="845"/>
      <c r="Q244" s="846">
        <f t="shared" si="123"/>
        <v>6.8879999999999999</v>
      </c>
      <c r="AO244" s="13"/>
      <c r="AP244" s="13"/>
    </row>
    <row r="245" spans="1:42">
      <c r="A245" s="149" t="s">
        <v>118</v>
      </c>
      <c r="B245" s="162"/>
      <c r="C245" s="849" t="s">
        <v>1204</v>
      </c>
      <c r="D245" s="849"/>
      <c r="E245" s="849"/>
      <c r="AO245" s="13"/>
      <c r="AP245" s="13"/>
    </row>
    <row r="246" spans="1:42" ht="15.75" thickBot="1">
      <c r="A246" s="187"/>
      <c r="B246" s="157"/>
      <c r="C246" s="148" t="s">
        <v>31</v>
      </c>
      <c r="K246" s="2316" t="s">
        <v>1205</v>
      </c>
      <c r="L246" s="2316"/>
      <c r="M246" s="2316"/>
      <c r="N246" s="2316"/>
      <c r="O246" s="2316"/>
      <c r="P246" s="1852"/>
      <c r="T246" s="1851"/>
      <c r="U246" s="627"/>
      <c r="V246" s="627"/>
      <c r="W246" s="627"/>
      <c r="X246" s="627"/>
      <c r="Y246" s="627"/>
      <c r="Z246" s="627"/>
      <c r="AA246" s="614">
        <v>0.33</v>
      </c>
      <c r="AB246" s="628">
        <v>0.28999999999999998</v>
      </c>
      <c r="AC246" s="1851"/>
      <c r="AD246" s="1851"/>
      <c r="AE246" s="188"/>
      <c r="AF246" s="188"/>
      <c r="AG246" s="1866"/>
      <c r="AH246" s="1851"/>
      <c r="AO246" s="13"/>
      <c r="AP246" s="13"/>
    </row>
    <row r="247" spans="1:42" ht="108.75" thickBot="1">
      <c r="A247" s="187"/>
      <c r="B247" s="189" t="s">
        <v>10</v>
      </c>
      <c r="C247" s="190" t="s">
        <v>11</v>
      </c>
      <c r="D247" s="190" t="s">
        <v>12</v>
      </c>
      <c r="E247" s="190" t="s">
        <v>13</v>
      </c>
      <c r="F247" s="190" t="s">
        <v>14</v>
      </c>
      <c r="G247" s="191" t="s">
        <v>15</v>
      </c>
      <c r="H247" s="372" t="s">
        <v>1090</v>
      </c>
      <c r="I247" s="633">
        <f>$C$8</f>
        <v>0.49</v>
      </c>
      <c r="J247" s="194">
        <f>$C$8</f>
        <v>0.49</v>
      </c>
      <c r="K247" s="422" t="s">
        <v>15</v>
      </c>
      <c r="L247" s="850" t="s">
        <v>12</v>
      </c>
      <c r="M247" s="851" t="s">
        <v>1091</v>
      </c>
      <c r="N247" s="852" t="s">
        <v>993</v>
      </c>
      <c r="O247" s="853" t="s">
        <v>1092</v>
      </c>
      <c r="P247" s="199" t="s">
        <v>1092</v>
      </c>
      <c r="Q247" s="200" t="s">
        <v>1093</v>
      </c>
      <c r="R247" s="201" t="s">
        <v>1094</v>
      </c>
      <c r="S247" s="350" t="s">
        <v>1095</v>
      </c>
      <c r="T247" s="203" t="s">
        <v>1095</v>
      </c>
      <c r="U247" s="204" t="s">
        <v>1096</v>
      </c>
      <c r="V247" s="205" t="s">
        <v>1093</v>
      </c>
      <c r="W247" s="206" t="s">
        <v>1094</v>
      </c>
      <c r="X247" s="207" t="s">
        <v>1097</v>
      </c>
      <c r="Y247" s="208">
        <f>$X$33</f>
        <v>0.49</v>
      </c>
      <c r="Z247" s="207" t="s">
        <v>1098</v>
      </c>
      <c r="AA247" s="209" t="s">
        <v>1099</v>
      </c>
      <c r="AB247" s="209" t="s">
        <v>1100</v>
      </c>
      <c r="AC247" s="210" t="s">
        <v>1092</v>
      </c>
      <c r="AD247" s="211" t="s">
        <v>1101</v>
      </c>
      <c r="AE247" s="209" t="s">
        <v>1102</v>
      </c>
      <c r="AF247" s="208" t="s">
        <v>1103</v>
      </c>
      <c r="AG247" s="1867" t="s">
        <v>1104</v>
      </c>
      <c r="AH247" s="213" t="s">
        <v>1116</v>
      </c>
      <c r="AI247" s="220" t="s">
        <v>1106</v>
      </c>
      <c r="AJ247" s="483" t="s">
        <v>1107</v>
      </c>
      <c r="AK247" s="484" t="s">
        <v>1108</v>
      </c>
      <c r="AL247" s="221" t="s">
        <v>1109</v>
      </c>
      <c r="AM247" s="221" t="s">
        <v>1175</v>
      </c>
      <c r="AN247" s="221" t="s">
        <v>1176</v>
      </c>
      <c r="AO247" s="220" t="s">
        <v>1112</v>
      </c>
      <c r="AP247" s="221" t="s">
        <v>1113</v>
      </c>
    </row>
    <row r="248" spans="1:42" ht="15.75">
      <c r="A248" s="187"/>
      <c r="B248" s="222" t="s">
        <v>357</v>
      </c>
      <c r="C248" s="223" t="s">
        <v>190</v>
      </c>
      <c r="D248" s="224">
        <v>105</v>
      </c>
      <c r="E248" s="223">
        <v>20</v>
      </c>
      <c r="F248" s="224">
        <v>200</v>
      </c>
      <c r="G248" s="396">
        <v>128</v>
      </c>
      <c r="H248" s="854">
        <f t="shared" ref="H248:H253" si="124">G248*(1+$H$33)</f>
        <v>136.96</v>
      </c>
      <c r="I248" s="854">
        <f t="shared" ref="I248:I253" si="125">H248-H248*$J$247</f>
        <v>69.849600000000009</v>
      </c>
      <c r="J248" s="313">
        <f t="shared" ref="J248:J253" si="126">G248-G248*$J$247</f>
        <v>65.28</v>
      </c>
      <c r="K248" s="228">
        <v>158</v>
      </c>
      <c r="L248" s="478">
        <v>110</v>
      </c>
      <c r="M248" s="855">
        <f t="shared" ref="M248:M253" si="127">L248/D248*100%</f>
        <v>1.0476190476190477</v>
      </c>
      <c r="N248" s="694">
        <f>K248-(K248*$N$33)</f>
        <v>86.899999999999991</v>
      </c>
      <c r="O248" s="437">
        <f t="shared" ref="O248:O253" si="128">((N248/J248)-1)*100%</f>
        <v>0.33118872549019596</v>
      </c>
      <c r="P248" s="856">
        <f t="shared" ref="P248:P253" si="129">((N248/I248)-1)*100%</f>
        <v>0.24410161260765961</v>
      </c>
      <c r="Q248" s="697">
        <v>1.1091850263209204</v>
      </c>
      <c r="R248" s="258">
        <f t="shared" ref="R248:R253" si="130">Q239*$R$33</f>
        <v>50.795640000000006</v>
      </c>
      <c r="S248" s="259">
        <f t="shared" ref="S248:S253" si="131">((J248-R248)/J248)*100%</f>
        <v>0.22188051470588227</v>
      </c>
      <c r="T248" s="237">
        <f t="shared" ref="T248:T253" si="132">((I248-R248)/I248)*100%</f>
        <v>0.27278552776250686</v>
      </c>
      <c r="U248" s="238">
        <v>0.92</v>
      </c>
      <c r="V248" s="239">
        <f t="shared" ref="V248:V253" si="133">U248*$X$31</f>
        <v>1.1040000000000001</v>
      </c>
      <c r="W248" s="239">
        <f t="shared" ref="W248:W253" si="134">V248*$R$33</f>
        <v>51.924432000000003</v>
      </c>
      <c r="X248" s="240">
        <f>(ROUND(W248/(1-$AA$246),0))</f>
        <v>77</v>
      </c>
      <c r="Y248" s="239">
        <f t="shared" ref="Y248:Y253" si="135">Z248*(1-$X$33)</f>
        <v>73.95</v>
      </c>
      <c r="Z248" s="240">
        <f t="shared" ref="Z248:Z253" si="136">ROUND(X248/(1-$X$32),0)</f>
        <v>145</v>
      </c>
      <c r="AA248" s="241">
        <f t="shared" ref="AA248:AA253" si="137">((X248-W248)/X248)*100%</f>
        <v>0.32565672727272721</v>
      </c>
      <c r="AB248" s="241">
        <f t="shared" ref="AB248:AB253" si="138">((Y248-W248)/Y248)*100%</f>
        <v>0.29784405679513182</v>
      </c>
      <c r="AC248" s="242">
        <f t="shared" ref="AC248:AC253" si="139">((N248/Y248)-1)*100%</f>
        <v>0.17511832319134535</v>
      </c>
      <c r="AD248" s="243">
        <f t="shared" ref="AD248:AD253" si="140">((N248*0.96-W248)/(N248*0.96))*100%</f>
        <v>0.37758400460299185</v>
      </c>
      <c r="AE248" s="238">
        <f t="shared" ref="AE248:AE253" si="141">N248/$R$33</f>
        <v>1.847638891841898</v>
      </c>
      <c r="AF248" s="239">
        <f>(V248/(1-$AA$246))</f>
        <v>1.6477611940298511</v>
      </c>
      <c r="AG248" s="1868">
        <v>3.11</v>
      </c>
      <c r="AH248" s="244">
        <f t="shared" ref="AH248:AH253" si="142">((AF248-V248)/AF248)*100%</f>
        <v>0.33000000000000007</v>
      </c>
      <c r="AI248" s="857">
        <f t="shared" ref="AI248:AI253" si="143">AJ248/$AJ$254</f>
        <v>0.41127098321342925</v>
      </c>
      <c r="AJ248" s="858">
        <f>[1]Статистика!D345</f>
        <v>4459</v>
      </c>
      <c r="AK248" s="859">
        <f t="shared" ref="AK248:AK253" si="144">AJ248*Q248*S248</f>
        <v>1097.3890821223354</v>
      </c>
      <c r="AL248" s="506">
        <f t="shared" ref="AL248:AL253" si="145">AK248/$AK$254</f>
        <v>0.14251934480409825</v>
      </c>
      <c r="AM248" s="77">
        <f t="shared" ref="AM248:AM253" si="146">AJ248/$AJ$276</f>
        <v>0.31521278099816202</v>
      </c>
      <c r="AN248" s="77">
        <f t="shared" ref="AN248:AN253" si="147">AK248/$AK$276</f>
        <v>0.1305840911790139</v>
      </c>
      <c r="AO248" s="77">
        <f t="shared" ref="AO248:AO253" si="148">AJ248/$AJ$23</f>
        <v>2.0953720894933935E-3</v>
      </c>
      <c r="AP248" s="77">
        <f t="shared" ref="AP248:AP253" si="149">AK248/$AK$23</f>
        <v>-9.4660767760451903E-3</v>
      </c>
    </row>
    <row r="249" spans="1:42" ht="15.75">
      <c r="A249" s="187"/>
      <c r="B249" s="249" t="s">
        <v>358</v>
      </c>
      <c r="C249" s="250" t="s">
        <v>192</v>
      </c>
      <c r="D249" s="251">
        <v>155</v>
      </c>
      <c r="E249" s="250">
        <v>12</v>
      </c>
      <c r="F249" s="251">
        <v>120</v>
      </c>
      <c r="G249" s="328">
        <v>179</v>
      </c>
      <c r="H249" s="357">
        <f t="shared" si="124"/>
        <v>191.53</v>
      </c>
      <c r="I249" s="357">
        <f t="shared" si="125"/>
        <v>97.680300000000003</v>
      </c>
      <c r="J249" s="253">
        <f t="shared" si="126"/>
        <v>91.29</v>
      </c>
      <c r="K249" s="254">
        <v>203</v>
      </c>
      <c r="L249" s="322">
        <v>128</v>
      </c>
      <c r="M249" s="860">
        <f t="shared" si="127"/>
        <v>0.82580645161290323</v>
      </c>
      <c r="N249" s="765">
        <f>K249-(K249*$N$33)</f>
        <v>111.64999999999999</v>
      </c>
      <c r="O249" s="329">
        <f t="shared" si="128"/>
        <v>0.22302552305838508</v>
      </c>
      <c r="P249" s="861">
        <f t="shared" si="129"/>
        <v>0.14301450753120126</v>
      </c>
      <c r="Q249" s="702">
        <v>1.6971889838556506</v>
      </c>
      <c r="R249" s="258">
        <f t="shared" si="130"/>
        <v>72.242688000000001</v>
      </c>
      <c r="S249" s="259">
        <f t="shared" si="131"/>
        <v>0.20864620440354917</v>
      </c>
      <c r="T249" s="260">
        <f t="shared" si="132"/>
        <v>0.26041701346126089</v>
      </c>
      <c r="U249" s="261">
        <v>1.3320000000000001</v>
      </c>
      <c r="V249" s="239">
        <f t="shared" si="133"/>
        <v>1.5984</v>
      </c>
      <c r="W249" s="262">
        <f t="shared" si="134"/>
        <v>75.177547200000006</v>
      </c>
      <c r="X249" s="240">
        <f>(ROUND(W249/(1-$AB$246),0))</f>
        <v>106</v>
      </c>
      <c r="Y249" s="239">
        <f t="shared" si="135"/>
        <v>102</v>
      </c>
      <c r="Z249" s="263">
        <f t="shared" si="136"/>
        <v>200</v>
      </c>
      <c r="AA249" s="264">
        <f t="shared" si="137"/>
        <v>0.29077785660377353</v>
      </c>
      <c r="AB249" s="241">
        <f t="shared" si="138"/>
        <v>0.26296522352941171</v>
      </c>
      <c r="AC249" s="265">
        <f t="shared" si="139"/>
        <v>9.4607843137254788E-2</v>
      </c>
      <c r="AD249" s="266">
        <f t="shared" si="140"/>
        <v>0.29861222570532897</v>
      </c>
      <c r="AE249" s="261">
        <f t="shared" si="141"/>
        <v>2.3738651585057298</v>
      </c>
      <c r="AF249" s="239">
        <f>(V249/(1-$AB$246))</f>
        <v>2.251267605633803</v>
      </c>
      <c r="AG249" s="1869">
        <v>4.25</v>
      </c>
      <c r="AH249" s="267">
        <f t="shared" si="142"/>
        <v>0.29000000000000004</v>
      </c>
      <c r="AI249" s="857">
        <f t="shared" si="143"/>
        <v>8.162700608743774E-2</v>
      </c>
      <c r="AJ249" s="862">
        <f>[1]Статистика!D346</f>
        <v>885</v>
      </c>
      <c r="AK249" s="859">
        <f t="shared" si="144"/>
        <v>313.38915507874322</v>
      </c>
      <c r="AL249" s="506">
        <f t="shared" si="145"/>
        <v>4.070025643425651E-2</v>
      </c>
      <c r="AM249" s="77">
        <f t="shared" si="146"/>
        <v>6.256185494132617E-2</v>
      </c>
      <c r="AN249" s="77">
        <f t="shared" si="147"/>
        <v>3.7291821713927552E-2</v>
      </c>
      <c r="AO249" s="77">
        <f t="shared" si="148"/>
        <v>4.15878963714208E-4</v>
      </c>
      <c r="AP249" s="77">
        <f t="shared" si="149"/>
        <v>-2.7032944386671115E-3</v>
      </c>
    </row>
    <row r="250" spans="1:42" ht="15.75">
      <c r="A250" s="271"/>
      <c r="B250" s="356" t="s">
        <v>359</v>
      </c>
      <c r="C250" s="250" t="s">
        <v>194</v>
      </c>
      <c r="D250" s="251">
        <v>225</v>
      </c>
      <c r="E250" s="250">
        <v>9</v>
      </c>
      <c r="F250" s="251">
        <v>90</v>
      </c>
      <c r="G250" s="471">
        <v>238</v>
      </c>
      <c r="H250" s="357">
        <f t="shared" si="124"/>
        <v>254.66000000000003</v>
      </c>
      <c r="I250" s="357">
        <f t="shared" si="125"/>
        <v>129.8766</v>
      </c>
      <c r="J250" s="253">
        <f t="shared" si="126"/>
        <v>121.38</v>
      </c>
      <c r="K250" s="254">
        <v>317</v>
      </c>
      <c r="L250" s="322">
        <v>241</v>
      </c>
      <c r="M250" s="335">
        <f t="shared" si="127"/>
        <v>1.0711111111111111</v>
      </c>
      <c r="N250" s="765">
        <f>K250-(K250*$O$33)</f>
        <v>158.5</v>
      </c>
      <c r="O250" s="329">
        <f t="shared" si="128"/>
        <v>0.30581644422474885</v>
      </c>
      <c r="P250" s="861">
        <f t="shared" si="129"/>
        <v>0.2203892002100456</v>
      </c>
      <c r="Q250" s="703">
        <v>2.2004766949152543</v>
      </c>
      <c r="R250" s="258">
        <f t="shared" si="130"/>
        <v>104.97765600000001</v>
      </c>
      <c r="S250" s="259">
        <f t="shared" si="131"/>
        <v>0.13513217993079574</v>
      </c>
      <c r="T250" s="260">
        <f t="shared" si="132"/>
        <v>0.19171231769233246</v>
      </c>
      <c r="U250" s="261">
        <v>1.849</v>
      </c>
      <c r="V250" s="239">
        <f t="shared" si="133"/>
        <v>2.2187999999999999</v>
      </c>
      <c r="W250" s="262">
        <f t="shared" si="134"/>
        <v>104.3568204</v>
      </c>
      <c r="X250" s="240">
        <f>(ROUND(W250/(1-$AB$246),0))</f>
        <v>147</v>
      </c>
      <c r="Y250" s="239">
        <f t="shared" si="135"/>
        <v>141.27000000000001</v>
      </c>
      <c r="Z250" s="263">
        <f t="shared" si="136"/>
        <v>277</v>
      </c>
      <c r="AA250" s="264">
        <f t="shared" si="137"/>
        <v>0.29008965714285712</v>
      </c>
      <c r="AB250" s="241">
        <f t="shared" si="138"/>
        <v>0.26129524739859844</v>
      </c>
      <c r="AC250" s="242">
        <f t="shared" si="139"/>
        <v>0.12196503149996452</v>
      </c>
      <c r="AD250" s="266">
        <f t="shared" si="140"/>
        <v>0.31416390378548892</v>
      </c>
      <c r="AE250" s="261">
        <f t="shared" si="141"/>
        <v>3.3699742733825184</v>
      </c>
      <c r="AF250" s="239">
        <f>(V250/(1-$AB$246))</f>
        <v>3.1250704225352113</v>
      </c>
      <c r="AG250" s="1869">
        <v>5.9</v>
      </c>
      <c r="AH250" s="267">
        <f t="shared" si="142"/>
        <v>0.29000000000000004</v>
      </c>
      <c r="AI250" s="863">
        <f t="shared" si="143"/>
        <v>4.1597491237779005E-2</v>
      </c>
      <c r="AJ250" s="864">
        <f>[1]Статистика!D347</f>
        <v>451</v>
      </c>
      <c r="AK250" s="865">
        <f t="shared" si="144"/>
        <v>134.1072009145357</v>
      </c>
      <c r="AL250" s="866">
        <f t="shared" si="145"/>
        <v>1.7416676290315524E-2</v>
      </c>
      <c r="AM250" s="92">
        <f t="shared" si="146"/>
        <v>3.1881804043545882E-2</v>
      </c>
      <c r="AN250" s="92">
        <f t="shared" si="147"/>
        <v>1.5958120266804172E-2</v>
      </c>
      <c r="AO250" s="77">
        <f t="shared" si="148"/>
        <v>2.1193379958769242E-4</v>
      </c>
      <c r="AP250" s="77">
        <f t="shared" si="149"/>
        <v>-1.1568085383375391E-3</v>
      </c>
    </row>
    <row r="251" spans="1:42" ht="15.75">
      <c r="A251" s="187"/>
      <c r="B251" s="249" t="s">
        <v>360</v>
      </c>
      <c r="C251" s="250" t="s">
        <v>209</v>
      </c>
      <c r="D251" s="251">
        <v>355</v>
      </c>
      <c r="E251" s="250">
        <v>6</v>
      </c>
      <c r="F251" s="251">
        <v>60</v>
      </c>
      <c r="G251" s="328">
        <v>406</v>
      </c>
      <c r="H251" s="357">
        <f t="shared" si="124"/>
        <v>434.42</v>
      </c>
      <c r="I251" s="357">
        <f t="shared" si="125"/>
        <v>221.55420000000001</v>
      </c>
      <c r="J251" s="253">
        <f t="shared" si="126"/>
        <v>207.06</v>
      </c>
      <c r="K251" s="254">
        <v>542</v>
      </c>
      <c r="L251" s="322">
        <v>331</v>
      </c>
      <c r="M251" s="860">
        <f t="shared" si="127"/>
        <v>0.93239436619718308</v>
      </c>
      <c r="N251" s="765">
        <f>K251-(K251*$O$33)</f>
        <v>271</v>
      </c>
      <c r="O251" s="329">
        <f t="shared" si="128"/>
        <v>0.30879938182169409</v>
      </c>
      <c r="P251" s="861">
        <f t="shared" si="129"/>
        <v>0.2231769923567235</v>
      </c>
      <c r="Q251" s="702">
        <v>3.51</v>
      </c>
      <c r="R251" s="258">
        <f t="shared" si="130"/>
        <v>164.23923600000001</v>
      </c>
      <c r="S251" s="259">
        <f t="shared" si="131"/>
        <v>0.20680365111561863</v>
      </c>
      <c r="T251" s="260">
        <f t="shared" si="132"/>
        <v>0.25869500104263426</v>
      </c>
      <c r="U251" s="261">
        <v>2.948</v>
      </c>
      <c r="V251" s="239">
        <f t="shared" si="133"/>
        <v>3.5375999999999999</v>
      </c>
      <c r="W251" s="262">
        <f t="shared" si="134"/>
        <v>166.3839408</v>
      </c>
      <c r="X251" s="240">
        <f>(ROUND(W251/(1-$AA$246),0))</f>
        <v>248</v>
      </c>
      <c r="Y251" s="239">
        <f t="shared" si="135"/>
        <v>238.68</v>
      </c>
      <c r="Z251" s="263">
        <f t="shared" si="136"/>
        <v>468</v>
      </c>
      <c r="AA251" s="264">
        <f t="shared" si="137"/>
        <v>0.32909701290322579</v>
      </c>
      <c r="AB251" s="241">
        <f t="shared" si="138"/>
        <v>0.30289952740070386</v>
      </c>
      <c r="AC251" s="265">
        <f t="shared" si="139"/>
        <v>0.13541142952907648</v>
      </c>
      <c r="AD251" s="266">
        <f t="shared" si="140"/>
        <v>0.36045533210332092</v>
      </c>
      <c r="AE251" s="261">
        <f t="shared" si="141"/>
        <v>5.7619118491272081</v>
      </c>
      <c r="AF251" s="239">
        <f>(V251/(1-$AB$246))</f>
        <v>4.9825352112676056</v>
      </c>
      <c r="AG251" s="1869">
        <v>9.4</v>
      </c>
      <c r="AH251" s="267">
        <f t="shared" si="142"/>
        <v>0.29000000000000004</v>
      </c>
      <c r="AI251" s="857">
        <f t="shared" si="143"/>
        <v>1.5310828260468548E-2</v>
      </c>
      <c r="AJ251" s="862">
        <f>[1]Статистика!D348</f>
        <v>166</v>
      </c>
      <c r="AK251" s="859">
        <f t="shared" si="144"/>
        <v>120.49621535902635</v>
      </c>
      <c r="AL251" s="506">
        <f t="shared" si="145"/>
        <v>1.5648999925468123E-2</v>
      </c>
      <c r="AM251" s="77">
        <f t="shared" si="146"/>
        <v>1.1734766011593383E-2</v>
      </c>
      <c r="AN251" s="77">
        <f t="shared" si="147"/>
        <v>1.4338477600613754E-2</v>
      </c>
      <c r="AO251" s="77">
        <f t="shared" si="148"/>
        <v>7.8006675679727147E-5</v>
      </c>
      <c r="AP251" s="77">
        <f t="shared" si="149"/>
        <v>-1.0394001948747869E-3</v>
      </c>
    </row>
    <row r="252" spans="1:42" ht="15.75">
      <c r="A252" s="187"/>
      <c r="B252" s="249" t="s">
        <v>361</v>
      </c>
      <c r="C252" s="250" t="s">
        <v>303</v>
      </c>
      <c r="D252" s="251">
        <v>512</v>
      </c>
      <c r="E252" s="250">
        <v>4</v>
      </c>
      <c r="F252" s="251">
        <v>40</v>
      </c>
      <c r="G252" s="328">
        <v>593</v>
      </c>
      <c r="H252" s="357">
        <f t="shared" si="124"/>
        <v>634.51</v>
      </c>
      <c r="I252" s="357">
        <f t="shared" si="125"/>
        <v>323.6001</v>
      </c>
      <c r="J252" s="253">
        <f t="shared" si="126"/>
        <v>302.43</v>
      </c>
      <c r="K252" s="254">
        <v>830</v>
      </c>
      <c r="L252" s="322">
        <v>576</v>
      </c>
      <c r="M252" s="335">
        <f t="shared" si="127"/>
        <v>1.125</v>
      </c>
      <c r="N252" s="765">
        <f>K252-(K252*$O$33)</f>
        <v>415</v>
      </c>
      <c r="O252" s="329">
        <f t="shared" si="128"/>
        <v>0.3722183645802335</v>
      </c>
      <c r="P252" s="861">
        <f t="shared" si="129"/>
        <v>0.28244706970115274</v>
      </c>
      <c r="Q252" s="702">
        <v>5.3629292929292927</v>
      </c>
      <c r="R252" s="258">
        <f t="shared" si="130"/>
        <v>240.43269599999996</v>
      </c>
      <c r="S252" s="259">
        <f t="shared" si="131"/>
        <v>0.20499720265846655</v>
      </c>
      <c r="T252" s="260">
        <f t="shared" si="132"/>
        <v>0.25700673145651076</v>
      </c>
      <c r="U252" s="261">
        <v>4.2939999999999996</v>
      </c>
      <c r="V252" s="239">
        <f t="shared" si="133"/>
        <v>5.1527999999999992</v>
      </c>
      <c r="W252" s="262">
        <f t="shared" si="134"/>
        <v>242.35164239999997</v>
      </c>
      <c r="X252" s="240">
        <f>(ROUND(W252/(1-$AA$246),0))</f>
        <v>362</v>
      </c>
      <c r="Y252" s="239">
        <f t="shared" si="135"/>
        <v>348.33</v>
      </c>
      <c r="Z252" s="263">
        <f t="shared" si="136"/>
        <v>683</v>
      </c>
      <c r="AA252" s="264">
        <f t="shared" si="137"/>
        <v>0.33052032486187854</v>
      </c>
      <c r="AB252" s="241">
        <f t="shared" si="138"/>
        <v>0.3042470002583757</v>
      </c>
      <c r="AC252" s="265">
        <f t="shared" si="139"/>
        <v>0.19139896075560547</v>
      </c>
      <c r="AD252" s="266">
        <f t="shared" si="140"/>
        <v>0.39168764457831329</v>
      </c>
      <c r="AE252" s="261">
        <f t="shared" si="141"/>
        <v>8.8235919460804109</v>
      </c>
      <c r="AF252" s="239">
        <f>(V252/(1-$AA$246))</f>
        <v>7.6907462686567163</v>
      </c>
      <c r="AG252" s="1869">
        <v>14.51</v>
      </c>
      <c r="AH252" s="267">
        <f t="shared" si="142"/>
        <v>0.33000000000000007</v>
      </c>
      <c r="AI252" s="857">
        <f t="shared" si="143"/>
        <v>0.35463936543073232</v>
      </c>
      <c r="AJ252" s="862">
        <f>[1]Статистика!D349</f>
        <v>3845</v>
      </c>
      <c r="AK252" s="859">
        <f t="shared" si="144"/>
        <v>4227.1372594412351</v>
      </c>
      <c r="AL252" s="506">
        <f t="shared" si="145"/>
        <v>0.54898380385508172</v>
      </c>
      <c r="AM252" s="77">
        <f t="shared" si="146"/>
        <v>0.27180828502756965</v>
      </c>
      <c r="AN252" s="77">
        <f t="shared" si="147"/>
        <v>0.50300926654521372</v>
      </c>
      <c r="AO252" s="77">
        <f t="shared" si="148"/>
        <v>1.8068413734250053E-3</v>
      </c>
      <c r="AP252" s="77">
        <f t="shared" si="149"/>
        <v>-3.6463280428637647E-2</v>
      </c>
    </row>
    <row r="253" spans="1:42" ht="16.5" thickBot="1">
      <c r="A253" s="187"/>
      <c r="B253" s="274" t="s">
        <v>362</v>
      </c>
      <c r="C253" s="275" t="s">
        <v>305</v>
      </c>
      <c r="D253" s="276">
        <v>700</v>
      </c>
      <c r="E253" s="275">
        <v>4</v>
      </c>
      <c r="F253" s="276">
        <v>32</v>
      </c>
      <c r="G253" s="339">
        <v>800</v>
      </c>
      <c r="H253" s="867">
        <f t="shared" si="124"/>
        <v>856</v>
      </c>
      <c r="I253" s="357">
        <f t="shared" si="125"/>
        <v>436.56</v>
      </c>
      <c r="J253" s="253">
        <f t="shared" si="126"/>
        <v>408</v>
      </c>
      <c r="K253" s="279">
        <v>1118</v>
      </c>
      <c r="L253" s="341">
        <v>789</v>
      </c>
      <c r="M253" s="342">
        <f t="shared" si="127"/>
        <v>1.1271428571428572</v>
      </c>
      <c r="N253" s="767">
        <f>K253-(K253*$O$33)</f>
        <v>559</v>
      </c>
      <c r="O253" s="363">
        <f t="shared" si="128"/>
        <v>0.37009803921568629</v>
      </c>
      <c r="P253" s="868">
        <f t="shared" si="129"/>
        <v>0.28046545721092175</v>
      </c>
      <c r="Q253" s="716">
        <v>8.4701003344481602</v>
      </c>
      <c r="R253" s="258">
        <f t="shared" si="130"/>
        <v>323.96330399999999</v>
      </c>
      <c r="S253" s="259">
        <f t="shared" si="131"/>
        <v>0.20597229411764709</v>
      </c>
      <c r="T253" s="287">
        <f t="shared" si="132"/>
        <v>0.25791803188565149</v>
      </c>
      <c r="U253" s="288">
        <v>5.4260000000000002</v>
      </c>
      <c r="V253" s="239">
        <f t="shared" si="133"/>
        <v>6.5111999999999997</v>
      </c>
      <c r="W253" s="289">
        <f t="shared" si="134"/>
        <v>306.24126960000001</v>
      </c>
      <c r="X253" s="240">
        <f>(ROUND(W253/(1-$AA$246),0))</f>
        <v>457</v>
      </c>
      <c r="Y253" s="291">
        <f t="shared" si="135"/>
        <v>439.62</v>
      </c>
      <c r="Z253" s="290">
        <f t="shared" si="136"/>
        <v>862</v>
      </c>
      <c r="AA253" s="292">
        <f t="shared" si="137"/>
        <v>0.32988781269146605</v>
      </c>
      <c r="AB253" s="241">
        <f t="shared" si="138"/>
        <v>0.30339550156953732</v>
      </c>
      <c r="AC253" s="293">
        <f t="shared" si="139"/>
        <v>0.27155270460852554</v>
      </c>
      <c r="AD253" s="294">
        <f t="shared" si="140"/>
        <v>0.42933573792486579</v>
      </c>
      <c r="AE253" s="288">
        <f t="shared" si="141"/>
        <v>11.885272043033615</v>
      </c>
      <c r="AF253" s="239">
        <f>(V253/(1-$AA$246))</f>
        <v>9.7182089552238811</v>
      </c>
      <c r="AG253" s="1870">
        <v>18.34</v>
      </c>
      <c r="AH253" s="295">
        <f t="shared" si="142"/>
        <v>0.33000000000000007</v>
      </c>
      <c r="AI253" s="857">
        <f t="shared" si="143"/>
        <v>9.5554325770153103E-2</v>
      </c>
      <c r="AJ253" s="862">
        <f>[1]Статистика!D350</f>
        <v>1036</v>
      </c>
      <c r="AK253" s="859">
        <f t="shared" si="144"/>
        <v>1807.4118131954833</v>
      </c>
      <c r="AL253" s="506">
        <f t="shared" si="145"/>
        <v>0.23473091869077992</v>
      </c>
      <c r="AM253" s="77">
        <f t="shared" si="146"/>
        <v>7.3236250530185218E-2</v>
      </c>
      <c r="AN253" s="77">
        <f t="shared" si="147"/>
        <v>0.21507342551275241</v>
      </c>
      <c r="AO253" s="77">
        <f t="shared" si="148"/>
        <v>4.8683684339877908E-4</v>
      </c>
      <c r="AP253" s="77">
        <f t="shared" si="149"/>
        <v>-1.5590731918483031E-2</v>
      </c>
    </row>
    <row r="254" spans="1:42" ht="19.5" thickBot="1">
      <c r="A254" s="187"/>
      <c r="M254" s="869">
        <f>AVERAGE(M248:M253)</f>
        <v>1.0215123056138504</v>
      </c>
      <c r="O254" s="870">
        <f>AVERAGE(O248:O253)</f>
        <v>0.31852441306515727</v>
      </c>
      <c r="P254" s="871"/>
      <c r="S254" s="364"/>
      <c r="T254" s="365"/>
      <c r="U254" s="366"/>
      <c r="V254" s="366"/>
      <c r="W254" s="366"/>
      <c r="X254" s="366"/>
      <c r="Y254" s="366"/>
      <c r="Z254" s="366"/>
      <c r="AA254" s="367"/>
      <c r="AB254" s="367"/>
      <c r="AC254" s="367"/>
      <c r="AD254" s="367">
        <f>AVERAGE(AD248:AD253)</f>
        <v>0.36197314145005161</v>
      </c>
      <c r="AE254" s="366"/>
      <c r="AF254" s="366"/>
      <c r="AG254" s="1872"/>
      <c r="AH254" s="367"/>
      <c r="AI254" s="512">
        <f>S248*AI248+S249*AI249+S250*AI250+S251*AI251+S252*AI252+S253*AI253</f>
        <v>0.20945329885005881</v>
      </c>
      <c r="AJ254" s="513">
        <f>SUM(AJ248:AJ253)</f>
        <v>10842</v>
      </c>
      <c r="AK254" s="514">
        <f>SUM(AK248:AK253)</f>
        <v>7699.930726111359</v>
      </c>
      <c r="AM254" s="307">
        <f>SUM(AM248:AM253)</f>
        <v>0.76643574155238237</v>
      </c>
      <c r="AN254" s="307">
        <f>SUM(AN248:AN253)</f>
        <v>0.91625520281832551</v>
      </c>
      <c r="AO254" s="308">
        <f>SUM(AO248:AO253)</f>
        <v>5.0948697452988054E-3</v>
      </c>
      <c r="AP254" s="308">
        <f>SUM(AP248:AP253)</f>
        <v>-6.6419592295045307E-2</v>
      </c>
    </row>
    <row r="255" spans="1:42">
      <c r="A255" s="187"/>
      <c r="M255" s="869"/>
      <c r="O255" s="870"/>
      <c r="P255" s="870"/>
      <c r="S255" s="364"/>
      <c r="T255" s="364"/>
      <c r="U255" s="872"/>
      <c r="V255" s="872"/>
      <c r="W255" s="872"/>
      <c r="X255" s="872"/>
      <c r="Y255" s="872"/>
      <c r="Z255" s="872"/>
      <c r="AA255" s="364"/>
      <c r="AB255" s="364"/>
      <c r="AC255" s="364"/>
      <c r="AD255" s="364"/>
      <c r="AE255" s="872"/>
      <c r="AF255" s="872"/>
      <c r="AG255" s="1882"/>
      <c r="AH255" s="364"/>
      <c r="AI255" s="364"/>
      <c r="AJ255" s="513"/>
      <c r="AK255" s="514"/>
      <c r="AM255" s="307"/>
      <c r="AN255" s="307"/>
      <c r="AO255" s="308"/>
      <c r="AP255" s="308"/>
    </row>
    <row r="256" spans="1:42">
      <c r="A256" s="187"/>
      <c r="M256" s="869"/>
      <c r="O256" s="870"/>
      <c r="P256" s="870"/>
      <c r="S256" s="364"/>
      <c r="T256" s="364"/>
      <c r="U256" s="872"/>
      <c r="V256" s="872"/>
      <c r="W256" s="872"/>
      <c r="X256" s="872"/>
      <c r="Y256" s="872"/>
      <c r="Z256" s="872"/>
      <c r="AA256" s="364"/>
      <c r="AB256" s="364"/>
      <c r="AC256" s="364"/>
      <c r="AD256" s="364"/>
      <c r="AE256" s="872"/>
      <c r="AF256" s="872"/>
      <c r="AG256" s="1882"/>
      <c r="AH256" s="364"/>
      <c r="AI256" s="364"/>
      <c r="AJ256" s="513"/>
      <c r="AK256" s="514"/>
      <c r="AM256" s="307"/>
      <c r="AN256" s="307"/>
      <c r="AO256" s="308"/>
      <c r="AP256" s="308"/>
    </row>
    <row r="257" spans="1:42">
      <c r="A257" s="187"/>
      <c r="M257" s="869"/>
      <c r="O257" s="870"/>
      <c r="P257" s="870"/>
      <c r="S257" s="364"/>
      <c r="T257" s="364"/>
      <c r="U257" s="872"/>
      <c r="V257" s="872"/>
      <c r="W257" s="872"/>
      <c r="X257" s="872"/>
      <c r="Y257" s="872"/>
      <c r="Z257" s="872"/>
      <c r="AA257" s="364"/>
      <c r="AB257" s="364"/>
      <c r="AC257" s="364"/>
      <c r="AD257" s="364"/>
      <c r="AE257" s="872"/>
      <c r="AF257" s="872"/>
      <c r="AG257" s="1882"/>
      <c r="AH257" s="364"/>
      <c r="AI257" s="364"/>
      <c r="AJ257" s="513"/>
      <c r="AK257" s="514"/>
      <c r="AM257" s="307"/>
      <c r="AN257" s="307"/>
      <c r="AO257" s="308"/>
      <c r="AP257" s="308"/>
    </row>
    <row r="258" spans="1:42">
      <c r="A258" s="187"/>
      <c r="M258" s="869"/>
      <c r="O258" s="870"/>
      <c r="P258" s="870"/>
      <c r="S258" s="364"/>
      <c r="T258" s="364"/>
      <c r="U258" s="872"/>
      <c r="V258" s="872"/>
      <c r="W258" s="872"/>
      <c r="X258" s="872"/>
      <c r="Y258" s="872"/>
      <c r="Z258" s="872"/>
      <c r="AA258" s="364"/>
      <c r="AB258" s="364"/>
      <c r="AC258" s="364"/>
      <c r="AD258" s="364"/>
      <c r="AE258" s="872"/>
      <c r="AF258" s="872"/>
      <c r="AG258" s="1882"/>
      <c r="AH258" s="364"/>
      <c r="AI258" s="364"/>
      <c r="AJ258" s="513"/>
      <c r="AK258" s="514"/>
      <c r="AM258" s="307"/>
      <c r="AN258" s="307"/>
      <c r="AO258" s="308"/>
      <c r="AP258" s="308"/>
    </row>
    <row r="259" spans="1:42">
      <c r="A259" s="187"/>
      <c r="M259" s="869"/>
      <c r="O259" s="2333" t="s">
        <v>1156</v>
      </c>
      <c r="P259" s="2333"/>
      <c r="Q259" s="2333"/>
      <c r="S259" s="364"/>
      <c r="T259" s="364"/>
      <c r="U259" s="872"/>
      <c r="V259" s="872"/>
      <c r="W259" s="872"/>
      <c r="X259" s="872"/>
      <c r="Y259" s="872"/>
      <c r="Z259" s="872"/>
      <c r="AA259" s="364"/>
      <c r="AB259" s="364"/>
      <c r="AC259" s="364"/>
      <c r="AD259" s="364"/>
      <c r="AE259" s="872"/>
      <c r="AF259" s="872"/>
      <c r="AG259" s="1882"/>
      <c r="AH259" s="364"/>
      <c r="AI259" s="364"/>
      <c r="AJ259" s="513"/>
      <c r="AK259" s="514"/>
      <c r="AM259" s="307"/>
      <c r="AN259" s="307"/>
      <c r="AO259" s="308"/>
      <c r="AP259" s="308"/>
    </row>
    <row r="260" spans="1:42">
      <c r="A260" s="187"/>
      <c r="M260" s="869"/>
      <c r="O260" s="844">
        <v>1.1499999999999999</v>
      </c>
      <c r="P260" s="845"/>
      <c r="Q260" s="846">
        <f t="shared" ref="Q260:Q265" si="150">O260*1.2</f>
        <v>1.38</v>
      </c>
      <c r="S260" s="364"/>
      <c r="T260" s="364"/>
      <c r="U260" s="872"/>
      <c r="V260" s="872"/>
      <c r="W260" s="872"/>
      <c r="X260" s="872"/>
      <c r="Y260" s="872"/>
      <c r="Z260" s="872"/>
      <c r="AA260" s="364"/>
      <c r="AB260" s="364"/>
      <c r="AC260" s="364"/>
      <c r="AD260" s="364"/>
      <c r="AE260" s="872"/>
      <c r="AF260" s="872"/>
      <c r="AG260" s="1882"/>
      <c r="AH260" s="364"/>
      <c r="AI260" s="364"/>
      <c r="AJ260" s="513"/>
      <c r="AK260" s="514"/>
      <c r="AM260" s="307"/>
      <c r="AN260" s="307"/>
      <c r="AO260" s="308"/>
      <c r="AP260" s="308"/>
    </row>
    <row r="261" spans="1:42">
      <c r="A261" s="187"/>
      <c r="M261" s="869"/>
      <c r="O261" s="844">
        <v>1.53</v>
      </c>
      <c r="P261" s="845"/>
      <c r="Q261" s="846">
        <f t="shared" si="150"/>
        <v>1.8359999999999999</v>
      </c>
      <c r="S261" s="364"/>
      <c r="T261" s="364"/>
      <c r="U261" s="872"/>
      <c r="V261" s="872"/>
      <c r="W261" s="872"/>
      <c r="X261" s="872"/>
      <c r="Y261" s="872"/>
      <c r="Z261" s="872"/>
      <c r="AA261" s="364"/>
      <c r="AB261" s="364"/>
      <c r="AC261" s="364"/>
      <c r="AD261" s="364"/>
      <c r="AE261" s="872"/>
      <c r="AF261" s="872"/>
      <c r="AG261" s="1882"/>
      <c r="AH261" s="364"/>
      <c r="AI261" s="364"/>
      <c r="AJ261" s="513"/>
      <c r="AK261" s="514"/>
      <c r="AM261" s="307"/>
      <c r="AN261" s="307"/>
      <c r="AO261" s="308"/>
      <c r="AP261" s="308"/>
    </row>
    <row r="262" spans="1:42">
      <c r="A262" s="187"/>
      <c r="M262" s="869"/>
      <c r="O262" s="844">
        <v>2.2200000000000002</v>
      </c>
      <c r="P262" s="845"/>
      <c r="Q262" s="846">
        <f t="shared" si="150"/>
        <v>2.6640000000000001</v>
      </c>
      <c r="S262" s="364"/>
      <c r="T262" s="364"/>
      <c r="U262" s="872"/>
      <c r="V262" s="872"/>
      <c r="W262" s="872"/>
      <c r="X262" s="872"/>
      <c r="Y262" s="872"/>
      <c r="Z262" s="872"/>
      <c r="AA262" s="364"/>
      <c r="AB262" s="364"/>
      <c r="AC262" s="364"/>
      <c r="AD262" s="364"/>
      <c r="AE262" s="872"/>
      <c r="AF262" s="872"/>
      <c r="AG262" s="1882"/>
      <c r="AH262" s="364"/>
      <c r="AI262" s="364"/>
      <c r="AJ262" s="513"/>
      <c r="AK262" s="514"/>
      <c r="AM262" s="307"/>
      <c r="AN262" s="307"/>
      <c r="AO262" s="308"/>
      <c r="AP262" s="308"/>
    </row>
    <row r="263" spans="1:42">
      <c r="A263" s="187"/>
      <c r="M263" s="869"/>
      <c r="O263" s="844">
        <v>3.49</v>
      </c>
      <c r="P263" s="845"/>
      <c r="Q263" s="846">
        <f t="shared" si="150"/>
        <v>4.1879999999999997</v>
      </c>
      <c r="S263" s="364"/>
      <c r="T263" s="364"/>
      <c r="U263" s="872"/>
      <c r="V263" s="872"/>
      <c r="W263" s="872"/>
      <c r="X263" s="872"/>
      <c r="Y263" s="872"/>
      <c r="Z263" s="872"/>
      <c r="AA263" s="364"/>
      <c r="AB263" s="364"/>
      <c r="AC263" s="364"/>
      <c r="AD263" s="364"/>
      <c r="AE263" s="872"/>
      <c r="AF263" s="872"/>
      <c r="AG263" s="1882"/>
      <c r="AH263" s="364"/>
      <c r="AI263" s="364"/>
      <c r="AJ263" s="513"/>
      <c r="AK263" s="514"/>
      <c r="AM263" s="307"/>
      <c r="AN263" s="307"/>
      <c r="AO263" s="308"/>
      <c r="AP263" s="308"/>
    </row>
    <row r="264" spans="1:42">
      <c r="A264" s="187"/>
      <c r="M264" s="869"/>
      <c r="O264" s="844">
        <v>4.92</v>
      </c>
      <c r="P264" s="845"/>
      <c r="Q264" s="846">
        <f t="shared" si="150"/>
        <v>5.9039999999999999</v>
      </c>
      <c r="S264" s="364"/>
      <c r="T264" s="364"/>
      <c r="U264" s="872"/>
      <c r="V264" s="872"/>
      <c r="W264" s="872"/>
      <c r="X264" s="872"/>
      <c r="Y264" s="872"/>
      <c r="Z264" s="872"/>
      <c r="AA264" s="364"/>
      <c r="AB264" s="364"/>
      <c r="AC264" s="364"/>
      <c r="AD264" s="364"/>
      <c r="AE264" s="872"/>
      <c r="AF264" s="872"/>
      <c r="AG264" s="1882"/>
      <c r="AH264" s="364"/>
      <c r="AO264" s="13"/>
      <c r="AP264" s="13"/>
    </row>
    <row r="265" spans="1:42">
      <c r="A265" s="149" t="s">
        <v>807</v>
      </c>
      <c r="C265" s="849" t="s">
        <v>1206</v>
      </c>
      <c r="D265" s="849"/>
      <c r="E265" s="849"/>
      <c r="J265" s="532"/>
      <c r="K265" s="533"/>
      <c r="O265" s="844">
        <v>7.34</v>
      </c>
      <c r="P265" s="845"/>
      <c r="Q265" s="846">
        <f t="shared" si="150"/>
        <v>8.8079999999999998</v>
      </c>
      <c r="S265" s="364"/>
      <c r="T265" s="364"/>
      <c r="U265" s="872"/>
      <c r="V265" s="872"/>
      <c r="W265" s="872"/>
      <c r="X265" s="872"/>
      <c r="Y265" s="872"/>
      <c r="Z265" s="872"/>
      <c r="AA265" s="364"/>
      <c r="AB265" s="364"/>
      <c r="AC265" s="364"/>
      <c r="AD265" s="364"/>
      <c r="AE265" s="872"/>
      <c r="AF265" s="872"/>
      <c r="AG265" s="1882"/>
      <c r="AH265" s="364"/>
      <c r="AO265" s="13"/>
      <c r="AP265" s="13"/>
    </row>
    <row r="266" spans="1:42" ht="15.75" thickBot="1">
      <c r="A266" s="187"/>
      <c r="C266" s="148" t="s">
        <v>31</v>
      </c>
      <c r="J266" s="532"/>
      <c r="K266" s="2309" t="s">
        <v>1207</v>
      </c>
      <c r="L266" s="2309"/>
      <c r="M266" s="2309"/>
      <c r="N266" s="2309"/>
      <c r="O266" s="2309"/>
      <c r="P266" s="1852"/>
      <c r="S266" s="364"/>
      <c r="T266" s="1851"/>
      <c r="U266" s="627"/>
      <c r="V266" s="627"/>
      <c r="W266" s="627"/>
      <c r="X266" s="627"/>
      <c r="Y266" s="627"/>
      <c r="Z266" s="627"/>
      <c r="AA266" s="614">
        <v>0.25</v>
      </c>
      <c r="AB266" s="628">
        <v>0.2</v>
      </c>
      <c r="AC266" s="628">
        <v>0.3</v>
      </c>
      <c r="AD266" s="1851"/>
      <c r="AE266" s="188"/>
      <c r="AF266" s="188"/>
      <c r="AG266" s="1866"/>
      <c r="AH266" s="1851"/>
      <c r="AO266" s="13"/>
      <c r="AP266" s="13"/>
    </row>
    <row r="267" spans="1:42" ht="108.75" thickBot="1">
      <c r="A267" s="187"/>
      <c r="B267" s="189" t="s">
        <v>10</v>
      </c>
      <c r="C267" s="190" t="s">
        <v>11</v>
      </c>
      <c r="D267" s="190" t="s">
        <v>12</v>
      </c>
      <c r="E267" s="190" t="s">
        <v>13</v>
      </c>
      <c r="F267" s="190" t="s">
        <v>14</v>
      </c>
      <c r="G267" s="191" t="s">
        <v>15</v>
      </c>
      <c r="H267" s="347" t="s">
        <v>1090</v>
      </c>
      <c r="I267" s="347">
        <f>$C$8</f>
        <v>0.49</v>
      </c>
      <c r="J267" s="873">
        <f>$C$8</f>
        <v>0.49</v>
      </c>
      <c r="K267" s="874" t="s">
        <v>15</v>
      </c>
      <c r="L267" s="315" t="s">
        <v>12</v>
      </c>
      <c r="M267" s="316" t="s">
        <v>1091</v>
      </c>
      <c r="N267" s="605" t="s">
        <v>993</v>
      </c>
      <c r="O267" s="317" t="s">
        <v>1092</v>
      </c>
      <c r="P267" s="602" t="s">
        <v>1092</v>
      </c>
      <c r="Q267" s="875" t="s">
        <v>1093</v>
      </c>
      <c r="R267" s="876" t="s">
        <v>1094</v>
      </c>
      <c r="S267" s="350" t="s">
        <v>1095</v>
      </c>
      <c r="T267" s="203" t="s">
        <v>1095</v>
      </c>
      <c r="U267" s="204" t="s">
        <v>1096</v>
      </c>
      <c r="V267" s="205" t="s">
        <v>1093</v>
      </c>
      <c r="W267" s="206" t="s">
        <v>1094</v>
      </c>
      <c r="X267" s="207" t="s">
        <v>1097</v>
      </c>
      <c r="Y267" s="208">
        <f>$X$33</f>
        <v>0.49</v>
      </c>
      <c r="Z267" s="207" t="s">
        <v>1098</v>
      </c>
      <c r="AA267" s="209" t="s">
        <v>1099</v>
      </c>
      <c r="AB267" s="209" t="s">
        <v>1100</v>
      </c>
      <c r="AC267" s="210" t="s">
        <v>1092</v>
      </c>
      <c r="AD267" s="211" t="s">
        <v>1101</v>
      </c>
      <c r="AE267" s="209" t="s">
        <v>1102</v>
      </c>
      <c r="AF267" s="208" t="s">
        <v>1103</v>
      </c>
      <c r="AG267" s="1867" t="s">
        <v>1104</v>
      </c>
      <c r="AH267" s="213" t="s">
        <v>1116</v>
      </c>
      <c r="AI267" s="218" t="s">
        <v>1106</v>
      </c>
      <c r="AJ267" s="319" t="s">
        <v>1107</v>
      </c>
      <c r="AK267" s="320" t="s">
        <v>1108</v>
      </c>
      <c r="AL267" s="219" t="s">
        <v>1109</v>
      </c>
      <c r="AM267" s="219" t="s">
        <v>1175</v>
      </c>
      <c r="AN267" s="219" t="s">
        <v>1176</v>
      </c>
      <c r="AO267" s="220" t="s">
        <v>1112</v>
      </c>
      <c r="AP267" s="221" t="s">
        <v>1113</v>
      </c>
    </row>
    <row r="268" spans="1:42" ht="15.75">
      <c r="A268" s="187"/>
      <c r="B268" s="222" t="s">
        <v>809</v>
      </c>
      <c r="C268" s="223" t="s">
        <v>190</v>
      </c>
      <c r="D268" s="224">
        <v>137</v>
      </c>
      <c r="E268" s="223">
        <v>20</v>
      </c>
      <c r="F268" s="224">
        <v>200</v>
      </c>
      <c r="G268" s="396">
        <v>136</v>
      </c>
      <c r="H268" s="397">
        <f t="shared" ref="H268:H273" si="151">G268*(1+$H$33)</f>
        <v>145.52000000000001</v>
      </c>
      <c r="I268" s="397">
        <f t="shared" ref="I268:I273" si="152">H268-H268*$J$247</f>
        <v>74.21520000000001</v>
      </c>
      <c r="J268" s="877">
        <f t="shared" ref="J268:J273" si="153">G268-G268*$J$247</f>
        <v>69.36</v>
      </c>
      <c r="K268" s="807">
        <v>179</v>
      </c>
      <c r="L268" s="808">
        <v>131</v>
      </c>
      <c r="M268" s="878">
        <f>L268/D268*100%</f>
        <v>0.95620437956204385</v>
      </c>
      <c r="N268" s="879">
        <f>K268-(K268*$O$33)</f>
        <v>89.5</v>
      </c>
      <c r="O268" s="880">
        <f>((N268/J268)-1)*100%</f>
        <v>0.29036908881199541</v>
      </c>
      <c r="P268" s="472">
        <f>((N268/I268)-1)*100%</f>
        <v>0.20595241945046272</v>
      </c>
      <c r="Q268" s="703">
        <v>1.48</v>
      </c>
      <c r="R268" s="382">
        <f t="shared" ref="R268:R273" si="154">Q260*$R$33</f>
        <v>64.905540000000002</v>
      </c>
      <c r="S268" s="236">
        <f t="shared" ref="S268:S273" si="155">((J268-R268)/J268)*100%</f>
        <v>6.4222318339100304E-2</v>
      </c>
      <c r="T268" s="237">
        <f t="shared" ref="T268:T273" si="156">((I268-R268)/I268)*100%</f>
        <v>0.12544141900850508</v>
      </c>
      <c r="U268" s="238">
        <v>1.220415</v>
      </c>
      <c r="V268" s="239">
        <f t="shared" ref="V268:V273" si="157">U268*$X$31</f>
        <v>1.4644980000000001</v>
      </c>
      <c r="W268" s="239">
        <f t="shared" ref="W268:W273" si="158">V268*$R$33</f>
        <v>68.879734434</v>
      </c>
      <c r="X268" s="240">
        <f>(ROUND(W268/(1-$AB$266),0))</f>
        <v>86</v>
      </c>
      <c r="Y268" s="239">
        <f t="shared" ref="Y268:Y273" si="159">Z268*(1-$X$33)</f>
        <v>82.62</v>
      </c>
      <c r="Z268" s="240">
        <f t="shared" ref="Z268:Z273" si="160">ROUND(X268/(1-$X$32),0)</f>
        <v>162</v>
      </c>
      <c r="AA268" s="241">
        <f t="shared" ref="AA268:AA273" si="161">((X268-W268)/X268)*100%</f>
        <v>0.19907285541860464</v>
      </c>
      <c r="AB268" s="241">
        <f t="shared" ref="AB268:AB273" si="162">((Y268-W268)/Y268)*100%</f>
        <v>0.16630677276688458</v>
      </c>
      <c r="AC268" s="242">
        <f>((N268/Y268)-1)*100%</f>
        <v>8.3272815298959024E-2</v>
      </c>
      <c r="AD268" s="243">
        <f>((N268*0.96-W268)/(N268*0.96))*100%</f>
        <v>0.19832711319832405</v>
      </c>
      <c r="AE268" s="238">
        <f t="shared" ref="AE268:AE273" si="163">N268/$R$33</f>
        <v>1.9029192269257755</v>
      </c>
      <c r="AF268" s="239">
        <f>(V268/(1-$AB$266))</f>
        <v>1.8306225</v>
      </c>
      <c r="AG268" s="1868">
        <v>3.45</v>
      </c>
      <c r="AH268" s="244">
        <f t="shared" ref="AH268:AH273" si="164">((AF268-V268)/AF268)*100%</f>
        <v>0.19999999999999998</v>
      </c>
      <c r="AI268" s="664">
        <f t="shared" ref="AI268:AI273" si="165">AJ268/$AJ$274</f>
        <v>0.3159806295399516</v>
      </c>
      <c r="AJ268" s="881">
        <f>[1]Статистика!D129</f>
        <v>1044</v>
      </c>
      <c r="AK268" s="882">
        <f t="shared" ref="AK268:AK273" si="166">AJ268*Q268*S268</f>
        <v>99.231188512110649</v>
      </c>
      <c r="AL268" s="664">
        <f t="shared" ref="AL268:AL273" si="167">AK268/$AK$274</f>
        <v>0.14100028603412321</v>
      </c>
      <c r="AM268" s="334">
        <f t="shared" ref="AM268:AM273" si="168">AJ268/$AJ$276</f>
        <v>7.3801781422310198E-2</v>
      </c>
      <c r="AN268" s="334">
        <f t="shared" ref="AN268:AN273" si="169">AK268/$AK$276</f>
        <v>1.1808040356485736E-2</v>
      </c>
      <c r="AO268" s="77">
        <f t="shared" ref="AO268:AO273" si="170">AJ268/$AJ$23</f>
        <v>4.9059620126286232E-4</v>
      </c>
      <c r="AP268" s="77">
        <f t="shared" ref="AP268:AP273" si="171">AK268/$AK$23</f>
        <v>-8.5596810132027327E-4</v>
      </c>
    </row>
    <row r="269" spans="1:42" ht="15.75">
      <c r="A269" s="187"/>
      <c r="B269" s="249" t="s">
        <v>810</v>
      </c>
      <c r="C269" s="250" t="s">
        <v>192</v>
      </c>
      <c r="D269" s="251">
        <v>187</v>
      </c>
      <c r="E269" s="250">
        <v>12</v>
      </c>
      <c r="F269" s="251">
        <v>120</v>
      </c>
      <c r="G269" s="328">
        <v>190</v>
      </c>
      <c r="H269" s="357">
        <f t="shared" si="151"/>
        <v>203.3</v>
      </c>
      <c r="I269" s="357">
        <f t="shared" si="152"/>
        <v>103.68300000000001</v>
      </c>
      <c r="J269" s="883">
        <f t="shared" si="153"/>
        <v>96.9</v>
      </c>
      <c r="K269" s="254">
        <v>263</v>
      </c>
      <c r="L269" s="322">
        <v>193</v>
      </c>
      <c r="M269" s="860">
        <f>L269/D269*100%</f>
        <v>1.0320855614973261</v>
      </c>
      <c r="N269" s="765">
        <f>K269-(K269*$O$33)</f>
        <v>131.5</v>
      </c>
      <c r="O269" s="386">
        <f>((N269/J269)-1)*100%</f>
        <v>0.35706914344685226</v>
      </c>
      <c r="P269" s="472">
        <f>((N269/I269)-1)*100%</f>
        <v>0.26828891910920771</v>
      </c>
      <c r="Q269" s="702">
        <v>1.97</v>
      </c>
      <c r="R269" s="382">
        <f t="shared" si="154"/>
        <v>86.352587999999997</v>
      </c>
      <c r="S269" s="259">
        <f t="shared" si="155"/>
        <v>0.10884842105263166</v>
      </c>
      <c r="T269" s="260">
        <f t="shared" si="156"/>
        <v>0.16714805705853428</v>
      </c>
      <c r="U269" s="261">
        <v>1.6282049999999999</v>
      </c>
      <c r="V269" s="239">
        <f t="shared" si="157"/>
        <v>1.9538459999999997</v>
      </c>
      <c r="W269" s="262">
        <f t="shared" si="158"/>
        <v>91.89523891799999</v>
      </c>
      <c r="X269" s="240">
        <f>(ROUND(W269/(1-$AA$266),0))</f>
        <v>123</v>
      </c>
      <c r="Y269" s="239">
        <f t="shared" si="159"/>
        <v>118.32000000000001</v>
      </c>
      <c r="Z269" s="263">
        <f t="shared" si="160"/>
        <v>232</v>
      </c>
      <c r="AA269" s="264">
        <f t="shared" si="161"/>
        <v>0.25288423643902447</v>
      </c>
      <c r="AB269" s="241">
        <f t="shared" si="162"/>
        <v>0.22333300441176485</v>
      </c>
      <c r="AC269" s="265">
        <f>((N269/Y269)-1)*100%</f>
        <v>0.11139283299526692</v>
      </c>
      <c r="AD269" s="266">
        <f>((N269*0.96-W269)/(N269*0.96))*100%</f>
        <v>0.27205926078897341</v>
      </c>
      <c r="AE269" s="261">
        <f t="shared" si="163"/>
        <v>2.7959092552037932</v>
      </c>
      <c r="AF269" s="239">
        <f>(V269/(1-$AA$266))</f>
        <v>2.6051279999999997</v>
      </c>
      <c r="AG269" s="1869">
        <v>4.92</v>
      </c>
      <c r="AH269" s="267">
        <f t="shared" si="164"/>
        <v>0.25</v>
      </c>
      <c r="AI269" s="506">
        <f t="shared" si="165"/>
        <v>0.20520581113801453</v>
      </c>
      <c r="AJ269" s="862">
        <f>[1]Статистика!D130</f>
        <v>678</v>
      </c>
      <c r="AK269" s="859">
        <f t="shared" si="166"/>
        <v>145.384482063158</v>
      </c>
      <c r="AL269" s="506">
        <f t="shared" si="167"/>
        <v>0.20658075211228885</v>
      </c>
      <c r="AM269" s="77">
        <f t="shared" si="168"/>
        <v>4.792874310759225E-2</v>
      </c>
      <c r="AN269" s="77">
        <f t="shared" si="169"/>
        <v>1.7300063187281396E-2</v>
      </c>
      <c r="AO269" s="77">
        <f t="shared" si="170"/>
        <v>3.1860557898105425E-4</v>
      </c>
      <c r="AP269" s="77">
        <f t="shared" si="171"/>
        <v>-1.2540863506622707E-3</v>
      </c>
    </row>
    <row r="270" spans="1:42" ht="16.5" thickBot="1">
      <c r="A270" s="187"/>
      <c r="B270" s="249" t="s">
        <v>811</v>
      </c>
      <c r="C270" s="250" t="s">
        <v>194</v>
      </c>
      <c r="D270" s="251">
        <v>267</v>
      </c>
      <c r="E270" s="250">
        <v>9</v>
      </c>
      <c r="F270" s="251">
        <v>90</v>
      </c>
      <c r="G270" s="471">
        <v>260</v>
      </c>
      <c r="H270" s="357">
        <f t="shared" si="151"/>
        <v>278.2</v>
      </c>
      <c r="I270" s="357">
        <f t="shared" si="152"/>
        <v>141.88200000000001</v>
      </c>
      <c r="J270" s="883">
        <f t="shared" si="153"/>
        <v>132.60000000000002</v>
      </c>
      <c r="K270" s="279">
        <v>403</v>
      </c>
      <c r="L270" s="341">
        <v>298</v>
      </c>
      <c r="M270" s="342">
        <f>L270/D270*100%</f>
        <v>1.1161048689138577</v>
      </c>
      <c r="N270" s="767">
        <f>K270-(K270*$O$33)</f>
        <v>201.5</v>
      </c>
      <c r="O270" s="391">
        <f>((N270/J270)-1)*100%</f>
        <v>0.51960784313725461</v>
      </c>
      <c r="P270" s="475">
        <f>((N270/I270)-1)*100%</f>
        <v>0.42019424592266819</v>
      </c>
      <c r="Q270" s="703">
        <v>2.87</v>
      </c>
      <c r="R270" s="382">
        <f t="shared" si="154"/>
        <v>125.29591200000002</v>
      </c>
      <c r="S270" s="259">
        <f t="shared" si="155"/>
        <v>5.5083619909502307E-2</v>
      </c>
      <c r="T270" s="260">
        <f t="shared" si="156"/>
        <v>0.11690057935467493</v>
      </c>
      <c r="U270" s="261">
        <v>2.3009599999999999</v>
      </c>
      <c r="V270" s="239">
        <f t="shared" si="157"/>
        <v>2.7611519999999996</v>
      </c>
      <c r="W270" s="262">
        <f t="shared" si="158"/>
        <v>129.86526201599997</v>
      </c>
      <c r="X270" s="240">
        <f>(ROUND(W270/(1-$AC$266),0))</f>
        <v>186</v>
      </c>
      <c r="Y270" s="239">
        <f t="shared" si="159"/>
        <v>179.01</v>
      </c>
      <c r="Z270" s="263">
        <f t="shared" si="160"/>
        <v>351</v>
      </c>
      <c r="AA270" s="264">
        <f t="shared" si="161"/>
        <v>0.30179966658064528</v>
      </c>
      <c r="AB270" s="241">
        <f t="shared" si="162"/>
        <v>0.2745362716272835</v>
      </c>
      <c r="AC270" s="242">
        <f>((N270/Y270)-1)*100%</f>
        <v>0.12563543936092958</v>
      </c>
      <c r="AD270" s="266">
        <f>((N270*0.96-W270)/(N270*0.96))*100%</f>
        <v>0.32865352555831279</v>
      </c>
      <c r="AE270" s="261">
        <f t="shared" si="163"/>
        <v>4.2842259690004889</v>
      </c>
      <c r="AF270" s="239">
        <f>(V270/(1-$AC$266))</f>
        <v>3.9445028571428566</v>
      </c>
      <c r="AG270" s="1869">
        <v>7.44</v>
      </c>
      <c r="AH270" s="267">
        <f t="shared" si="164"/>
        <v>0.3</v>
      </c>
      <c r="AI270" s="866">
        <f t="shared" si="165"/>
        <v>0.3302058111380145</v>
      </c>
      <c r="AJ270" s="864">
        <f>[1]Статистика!D131</f>
        <v>1091</v>
      </c>
      <c r="AK270" s="865">
        <f t="shared" si="166"/>
        <v>172.47617815203634</v>
      </c>
      <c r="AL270" s="866">
        <f t="shared" si="167"/>
        <v>0.24507607757354924</v>
      </c>
      <c r="AM270" s="92">
        <f t="shared" si="168"/>
        <v>7.7124275413544469E-2</v>
      </c>
      <c r="AN270" s="92">
        <f t="shared" si="169"/>
        <v>2.0523846410477199E-2</v>
      </c>
      <c r="AO270" s="77">
        <f t="shared" si="170"/>
        <v>5.1268242871435133E-4</v>
      </c>
      <c r="AP270" s="77">
        <f t="shared" si="171"/>
        <v>-1.4877792854184929E-3</v>
      </c>
    </row>
    <row r="271" spans="1:42" ht="15.75" thickBot="1">
      <c r="A271" s="187"/>
      <c r="B271" s="249" t="s">
        <v>812</v>
      </c>
      <c r="C271" s="250" t="s">
        <v>209</v>
      </c>
      <c r="D271" s="251">
        <v>417</v>
      </c>
      <c r="E271" s="250">
        <v>6</v>
      </c>
      <c r="F271" s="251">
        <v>60</v>
      </c>
      <c r="G271" s="328">
        <v>430</v>
      </c>
      <c r="H271" s="357">
        <f t="shared" si="151"/>
        <v>460.1</v>
      </c>
      <c r="I271" s="357">
        <f t="shared" si="152"/>
        <v>234.65100000000001</v>
      </c>
      <c r="J271" s="884">
        <f t="shared" si="153"/>
        <v>219.3</v>
      </c>
      <c r="K271" s="815"/>
      <c r="L271" s="779"/>
      <c r="M271" s="885"/>
      <c r="N271" s="781"/>
      <c r="O271" s="817"/>
      <c r="P271" s="886"/>
      <c r="Q271" s="702">
        <v>4.1500000000000004</v>
      </c>
      <c r="R271" s="382">
        <f t="shared" si="154"/>
        <v>196.97420399999999</v>
      </c>
      <c r="S271" s="259">
        <f t="shared" si="155"/>
        <v>0.10180481532147753</v>
      </c>
      <c r="T271" s="260">
        <f t="shared" si="156"/>
        <v>0.16056524796399768</v>
      </c>
      <c r="U271" s="261">
        <v>3.4819750000000003</v>
      </c>
      <c r="V271" s="239">
        <f t="shared" si="157"/>
        <v>4.1783700000000001</v>
      </c>
      <c r="W271" s="262">
        <f t="shared" si="158"/>
        <v>196.52127621000002</v>
      </c>
      <c r="X271" s="240">
        <f>(ROUND(W271/(1-$AC$266),0))</f>
        <v>281</v>
      </c>
      <c r="Y271" s="239">
        <f t="shared" si="159"/>
        <v>270.3</v>
      </c>
      <c r="Z271" s="263">
        <f t="shared" si="160"/>
        <v>530</v>
      </c>
      <c r="AA271" s="264">
        <f t="shared" si="161"/>
        <v>0.30063602772241982</v>
      </c>
      <c r="AB271" s="241">
        <f t="shared" si="162"/>
        <v>0.2729512533851276</v>
      </c>
      <c r="AC271" s="265"/>
      <c r="AD271" s="266"/>
      <c r="AE271" s="261">
        <f t="shared" si="163"/>
        <v>0</v>
      </c>
      <c r="AF271" s="239">
        <f>(V271/(1-$AC$266))</f>
        <v>5.969100000000001</v>
      </c>
      <c r="AG271" s="1869">
        <v>11.26</v>
      </c>
      <c r="AH271" s="267">
        <f t="shared" si="164"/>
        <v>0.3000000000000001</v>
      </c>
      <c r="AI271" s="506">
        <f t="shared" si="165"/>
        <v>7.0823244552058115E-2</v>
      </c>
      <c r="AJ271" s="862">
        <f>[1]Статистика!D132</f>
        <v>234</v>
      </c>
      <c r="AK271" s="859">
        <f t="shared" si="166"/>
        <v>98.862656158686846</v>
      </c>
      <c r="AL271" s="506">
        <f t="shared" si="167"/>
        <v>0.14047662842178651</v>
      </c>
      <c r="AM271" s="77">
        <f t="shared" si="168"/>
        <v>1.6541778594655734E-2</v>
      </c>
      <c r="AN271" s="77">
        <f t="shared" si="169"/>
        <v>1.1764186755947958E-2</v>
      </c>
      <c r="AO271" s="77">
        <f t="shared" si="170"/>
        <v>1.0996121752443465E-4</v>
      </c>
      <c r="AP271" s="77">
        <f t="shared" si="171"/>
        <v>-8.5278914172535949E-4</v>
      </c>
    </row>
    <row r="272" spans="1:42">
      <c r="A272" s="187"/>
      <c r="B272" s="249" t="s">
        <v>813</v>
      </c>
      <c r="C272" s="250" t="s">
        <v>303</v>
      </c>
      <c r="D272" s="251">
        <v>586</v>
      </c>
      <c r="E272" s="250">
        <v>4</v>
      </c>
      <c r="F272" s="251">
        <v>40</v>
      </c>
      <c r="G272" s="328">
        <v>630</v>
      </c>
      <c r="H272" s="357">
        <f t="shared" si="151"/>
        <v>674.1</v>
      </c>
      <c r="I272" s="357">
        <f t="shared" si="152"/>
        <v>343.791</v>
      </c>
      <c r="J272" s="884">
        <f t="shared" si="153"/>
        <v>321.3</v>
      </c>
      <c r="K272" s="815"/>
      <c r="L272" s="779"/>
      <c r="M272" s="816"/>
      <c r="N272" s="781"/>
      <c r="O272" s="817"/>
      <c r="P272" s="817"/>
      <c r="Q272" s="331">
        <v>5.85</v>
      </c>
      <c r="R272" s="382">
        <f t="shared" si="154"/>
        <v>277.68283200000002</v>
      </c>
      <c r="S272" s="259">
        <f t="shared" si="155"/>
        <v>0.13575215686274508</v>
      </c>
      <c r="T272" s="260">
        <f t="shared" si="156"/>
        <v>0.19229173538574301</v>
      </c>
      <c r="U272" s="261">
        <v>4.9033299999999995</v>
      </c>
      <c r="V272" s="239">
        <f t="shared" si="157"/>
        <v>5.8839959999999989</v>
      </c>
      <c r="W272" s="262">
        <f t="shared" si="158"/>
        <v>276.74198386799998</v>
      </c>
      <c r="X272" s="240">
        <f>(ROUND(W272/(1-$AC$266),0))</f>
        <v>395</v>
      </c>
      <c r="Y272" s="239">
        <f t="shared" si="159"/>
        <v>379.95</v>
      </c>
      <c r="Z272" s="263">
        <f t="shared" si="160"/>
        <v>745</v>
      </c>
      <c r="AA272" s="264">
        <f t="shared" si="161"/>
        <v>0.29938738261265829</v>
      </c>
      <c r="AB272" s="241">
        <f t="shared" si="162"/>
        <v>0.27163578400315835</v>
      </c>
      <c r="AC272" s="265"/>
      <c r="AD272" s="266"/>
      <c r="AE272" s="261">
        <f t="shared" si="163"/>
        <v>0</v>
      </c>
      <c r="AF272" s="239">
        <f>(V272/(1-$AC$266))</f>
        <v>8.4057085714285709</v>
      </c>
      <c r="AG272" s="1869">
        <v>15.86</v>
      </c>
      <c r="AH272" s="267">
        <f t="shared" si="164"/>
        <v>0.3000000000000001</v>
      </c>
      <c r="AI272" s="506">
        <f t="shared" si="165"/>
        <v>6.5072639225181597E-2</v>
      </c>
      <c r="AJ272" s="862">
        <f>[1]Статистика!D133</f>
        <v>215</v>
      </c>
      <c r="AK272" s="859">
        <f t="shared" si="166"/>
        <v>170.74227529411763</v>
      </c>
      <c r="AL272" s="506">
        <f t="shared" si="167"/>
        <v>0.24261232799453372</v>
      </c>
      <c r="AM272" s="77">
        <f t="shared" si="168"/>
        <v>1.5198642725858901E-2</v>
      </c>
      <c r="AN272" s="77">
        <f t="shared" si="169"/>
        <v>2.0317520201676108E-2</v>
      </c>
      <c r="AO272" s="77">
        <f t="shared" si="170"/>
        <v>1.0103274259723696E-4</v>
      </c>
      <c r="AP272" s="77">
        <f t="shared" si="171"/>
        <v>-1.4728226416513435E-3</v>
      </c>
    </row>
    <row r="273" spans="1:42" ht="15.75" thickBot="1">
      <c r="A273" s="187"/>
      <c r="B273" s="274" t="s">
        <v>814</v>
      </c>
      <c r="C273" s="275" t="s">
        <v>305</v>
      </c>
      <c r="D273" s="276">
        <v>900</v>
      </c>
      <c r="E273" s="275">
        <v>4</v>
      </c>
      <c r="F273" s="276">
        <v>32</v>
      </c>
      <c r="G273" s="339">
        <v>850</v>
      </c>
      <c r="H273" s="360">
        <f t="shared" si="151"/>
        <v>909.5</v>
      </c>
      <c r="I273" s="360">
        <f t="shared" si="152"/>
        <v>463.84500000000003</v>
      </c>
      <c r="J273" s="887">
        <f t="shared" si="153"/>
        <v>433.5</v>
      </c>
      <c r="K273" s="815"/>
      <c r="L273" s="779"/>
      <c r="M273" s="816"/>
      <c r="N273" s="781"/>
      <c r="O273" s="817"/>
      <c r="P273" s="817"/>
      <c r="Q273" s="331">
        <v>9.16</v>
      </c>
      <c r="R273" s="382">
        <f t="shared" si="154"/>
        <v>414.26666399999999</v>
      </c>
      <c r="S273" s="286">
        <f t="shared" si="155"/>
        <v>4.4367557093425623E-2</v>
      </c>
      <c r="T273" s="287">
        <f t="shared" si="156"/>
        <v>0.10688556737703335</v>
      </c>
      <c r="U273" s="288">
        <v>7.5716950000000001</v>
      </c>
      <c r="V273" s="239">
        <f t="shared" si="157"/>
        <v>9.0860339999999997</v>
      </c>
      <c r="W273" s="289">
        <f t="shared" si="158"/>
        <v>427.34343712200001</v>
      </c>
      <c r="X273" s="240">
        <f>(ROUND(W273/(1-$AC$266),0))</f>
        <v>610</v>
      </c>
      <c r="Y273" s="291">
        <f t="shared" si="159"/>
        <v>587.01</v>
      </c>
      <c r="Z273" s="290">
        <f t="shared" si="160"/>
        <v>1151</v>
      </c>
      <c r="AA273" s="292">
        <f t="shared" si="161"/>
        <v>0.29943698832459015</v>
      </c>
      <c r="AB273" s="241">
        <f t="shared" si="162"/>
        <v>0.27199973233505387</v>
      </c>
      <c r="AC273" s="293"/>
      <c r="AD273" s="294"/>
      <c r="AE273" s="288">
        <f t="shared" si="163"/>
        <v>0</v>
      </c>
      <c r="AF273" s="239">
        <f>(V273/(1-$AC$266))</f>
        <v>12.980048571428572</v>
      </c>
      <c r="AG273" s="1870">
        <v>24.49</v>
      </c>
      <c r="AH273" s="295">
        <f t="shared" si="164"/>
        <v>0.30000000000000004</v>
      </c>
      <c r="AI273" s="506">
        <f t="shared" si="165"/>
        <v>1.2711864406779662E-2</v>
      </c>
      <c r="AJ273" s="862">
        <f>[1]Статистика!D134</f>
        <v>42</v>
      </c>
      <c r="AK273" s="859">
        <f t="shared" si="166"/>
        <v>17.069086564982708</v>
      </c>
      <c r="AL273" s="506">
        <f t="shared" si="167"/>
        <v>2.425392786371838E-2</v>
      </c>
      <c r="AM273" s="77">
        <f t="shared" si="168"/>
        <v>2.969037183656157E-3</v>
      </c>
      <c r="AN273" s="77">
        <f t="shared" si="169"/>
        <v>2.0311402698060584E-3</v>
      </c>
      <c r="AO273" s="77">
        <f t="shared" si="170"/>
        <v>1.9736628786436989E-5</v>
      </c>
      <c r="AP273" s="77">
        <f t="shared" si="171"/>
        <v>-1.4723791821274506E-4</v>
      </c>
    </row>
    <row r="274" spans="1:42" ht="19.5" thickBot="1">
      <c r="A274" s="187"/>
      <c r="M274" s="869"/>
      <c r="O274" s="870"/>
      <c r="P274" s="870"/>
      <c r="S274" s="364"/>
      <c r="T274" s="888"/>
      <c r="U274" s="889"/>
      <c r="V274" s="889"/>
      <c r="W274" s="889"/>
      <c r="X274" s="889"/>
      <c r="Y274" s="889"/>
      <c r="Z274" s="889"/>
      <c r="AA274" s="890"/>
      <c r="AB274" s="890"/>
      <c r="AC274" s="890"/>
      <c r="AD274" s="890">
        <f>AVERAGE(AD268:AD273)</f>
        <v>0.26634663318187007</v>
      </c>
      <c r="AE274" s="889"/>
      <c r="AF274" s="889"/>
      <c r="AG274" s="1883"/>
      <c r="AH274" s="890"/>
      <c r="AI274" s="512">
        <f>S268*AI268+S269*AI269+S270*AI270+S271*AI271+S272*AI272+S273*AI273</f>
        <v>7.7426161334628263E-2</v>
      </c>
      <c r="AJ274" s="513">
        <f>SUM(AJ268:AJ273)</f>
        <v>3304</v>
      </c>
      <c r="AK274" s="514">
        <f>SUM(AK268:AK273)</f>
        <v>703.76586674509224</v>
      </c>
      <c r="AM274" s="307">
        <f>SUM(AM268:AM273)</f>
        <v>0.23356425844761769</v>
      </c>
      <c r="AN274" s="307">
        <f>SUM(AN268:AN273)</f>
        <v>8.3744797181674449E-2</v>
      </c>
      <c r="AO274" s="308">
        <f>SUM(AO268:AO273)</f>
        <v>1.5526147978663766E-3</v>
      </c>
      <c r="AP274" s="308">
        <f>SUM(AP268:AP273)</f>
        <v>-6.0706834389904849E-3</v>
      </c>
    </row>
    <row r="275" spans="1:42" ht="15.75" thickBot="1">
      <c r="A275" s="187"/>
      <c r="L275" s="153"/>
      <c r="M275" s="869">
        <f>AVERAGE(M268:M270)</f>
        <v>1.0347982699910758</v>
      </c>
      <c r="O275" s="870">
        <f>AVERAGE(O268:O270)</f>
        <v>0.38901535846536744</v>
      </c>
      <c r="P275" s="870"/>
      <c r="Q275" s="1856" t="s">
        <v>1133</v>
      </c>
      <c r="R275" s="508">
        <f>AVERAGE(S248:S253,S268:S273)</f>
        <v>0.14112591129257018</v>
      </c>
      <c r="S275" s="364"/>
      <c r="T275" s="364"/>
      <c r="U275" s="2331" t="s">
        <v>1208</v>
      </c>
      <c r="V275" s="2331"/>
      <c r="W275" s="2331"/>
      <c r="X275" s="2331"/>
      <c r="Y275" s="2331"/>
      <c r="Z275" s="2331"/>
      <c r="AA275" s="727"/>
      <c r="AB275" s="727"/>
      <c r="AC275" s="727"/>
      <c r="AD275" s="728"/>
      <c r="AE275" s="729"/>
      <c r="AF275" s="729"/>
      <c r="AG275" s="1877"/>
      <c r="AH275" s="728"/>
      <c r="AI275" s="2335" t="s">
        <v>1209</v>
      </c>
      <c r="AJ275" s="2336"/>
      <c r="AK275" s="2336"/>
      <c r="AL275" s="2336"/>
      <c r="AM275" s="2336"/>
      <c r="AN275" s="2337"/>
      <c r="AO275" s="13"/>
      <c r="AP275" s="13"/>
    </row>
    <row r="276" spans="1:42" ht="19.5" thickBot="1">
      <c r="A276" s="187"/>
      <c r="M276" s="891">
        <f>AVERAGE(M254,M275)</f>
        <v>1.0281552878024631</v>
      </c>
      <c r="O276" s="298">
        <f>AVERAGE(O254,O275)</f>
        <v>0.35376988576526236</v>
      </c>
      <c r="P276" s="131">
        <f>AVERAGE(P248:P253,P268:P270)</f>
        <v>0.25422560267778255</v>
      </c>
      <c r="S276" s="364"/>
      <c r="T276" s="892">
        <f>AVERAGE(T248:T253,T268:T273)</f>
        <v>0.19731393578744874</v>
      </c>
      <c r="U276" s="2332"/>
      <c r="V276" s="2332"/>
      <c r="W276" s="2332"/>
      <c r="X276" s="2332"/>
      <c r="Y276" s="2332"/>
      <c r="Z276" s="2332"/>
      <c r="AA276" s="617">
        <f>AVERAGE(AA248:AA253,AA268:AA273)</f>
        <v>0.29577054571448919</v>
      </c>
      <c r="AB276" s="617">
        <f>AVERAGE(AB248:AB253,AB268:AB273)</f>
        <v>0.26778411462341928</v>
      </c>
      <c r="AC276" s="617">
        <f>AVERAGE(AC248:AC253,AC268:AC273)</f>
        <v>0.14559504226410308</v>
      </c>
      <c r="AD276" s="832"/>
      <c r="AE276" s="833"/>
      <c r="AF276" s="833"/>
      <c r="AG276" s="1880"/>
      <c r="AH276" s="617">
        <f>AVERAGE(AH248:AH253,AH268:AH273)</f>
        <v>0.29250000000000004</v>
      </c>
      <c r="AI276" s="838">
        <f>AVERAGE(AI254,AI274)</f>
        <v>0.14343973009234354</v>
      </c>
      <c r="AJ276" s="839">
        <f>SUM(AJ254,AJ274)</f>
        <v>14146</v>
      </c>
      <c r="AK276" s="840">
        <f>SUM(AK254,AK274)</f>
        <v>8403.6965928564514</v>
      </c>
      <c r="AL276" s="841"/>
      <c r="AM276" s="842">
        <f>SUM(AM254,AM274)</f>
        <v>1</v>
      </c>
      <c r="AN276" s="842">
        <f>SUM(AN254,AN274)</f>
        <v>1</v>
      </c>
      <c r="AO276" s="539">
        <f>SUM(AO254,AO274)</f>
        <v>6.6474845431651816E-3</v>
      </c>
      <c r="AP276" s="539">
        <f>SUM(AP254,AP274)</f>
        <v>-7.2490275734035797E-2</v>
      </c>
    </row>
    <row r="277" spans="1:42">
      <c r="A277" s="187"/>
      <c r="AO277" s="13"/>
      <c r="AP277" s="13"/>
    </row>
    <row r="278" spans="1:42" ht="18.75">
      <c r="A278" s="834" t="s">
        <v>734</v>
      </c>
      <c r="B278" s="893"/>
      <c r="C278" s="893"/>
      <c r="AO278" s="13"/>
      <c r="AP278" s="13"/>
    </row>
    <row r="279" spans="1:42">
      <c r="A279" s="749" t="s">
        <v>1</v>
      </c>
      <c r="E279" s="157"/>
      <c r="F279" s="158" t="s">
        <v>1077</v>
      </c>
      <c r="G279" s="158"/>
      <c r="H279" s="159"/>
      <c r="I279" s="160"/>
      <c r="J279" s="161"/>
      <c r="AO279" s="13"/>
      <c r="AP279" s="13"/>
    </row>
    <row r="280" spans="1:42">
      <c r="A280" s="148" t="s">
        <v>1210</v>
      </c>
      <c r="B280" s="156"/>
      <c r="E280" s="157"/>
      <c r="AO280" s="13"/>
      <c r="AP280" s="13"/>
    </row>
    <row r="281" spans="1:42">
      <c r="A281" s="148" t="s">
        <v>605</v>
      </c>
      <c r="E281" s="157"/>
      <c r="AO281" s="13"/>
      <c r="AP281" s="13"/>
    </row>
    <row r="282" spans="1:42" ht="15.75" thickBot="1">
      <c r="A282" s="749" t="s">
        <v>2</v>
      </c>
      <c r="E282" s="157"/>
      <c r="AO282" s="13"/>
      <c r="AP282" s="13"/>
    </row>
    <row r="283" spans="1:42" ht="15.75" thickBot="1">
      <c r="A283" s="187" t="s">
        <v>1211</v>
      </c>
      <c r="B283" s="156"/>
      <c r="E283" s="157"/>
      <c r="O283" s="2338" t="s">
        <v>1156</v>
      </c>
      <c r="P283" s="2339"/>
      <c r="Q283" s="2340"/>
      <c r="AO283" s="13"/>
      <c r="AP283" s="13"/>
    </row>
    <row r="284" spans="1:42">
      <c r="A284" s="187" t="s">
        <v>1212</v>
      </c>
      <c r="E284" s="157"/>
      <c r="O284" s="844">
        <v>1.06</v>
      </c>
      <c r="P284" s="845"/>
      <c r="Q284" s="846">
        <f t="shared" ref="Q284:Q289" si="172">O284*1.2</f>
        <v>1.272</v>
      </c>
      <c r="AO284" s="13"/>
      <c r="AP284" s="13"/>
    </row>
    <row r="285" spans="1:42">
      <c r="A285" s="749" t="s">
        <v>5</v>
      </c>
      <c r="E285" s="157"/>
      <c r="O285" s="844">
        <v>1.95</v>
      </c>
      <c r="P285" s="845"/>
      <c r="Q285" s="846">
        <f t="shared" si="172"/>
        <v>2.34</v>
      </c>
      <c r="AO285" s="13"/>
      <c r="AP285" s="13"/>
    </row>
    <row r="286" spans="1:42">
      <c r="A286" s="751" t="s">
        <v>1213</v>
      </c>
      <c r="B286" s="156"/>
      <c r="E286" s="157"/>
      <c r="O286" s="844">
        <v>2.72</v>
      </c>
      <c r="P286" s="845"/>
      <c r="Q286" s="846">
        <f t="shared" si="172"/>
        <v>3.2640000000000002</v>
      </c>
      <c r="AO286" s="13"/>
      <c r="AP286" s="13"/>
    </row>
    <row r="287" spans="1:42">
      <c r="A287" s="751" t="s">
        <v>1214</v>
      </c>
      <c r="B287" s="162"/>
      <c r="C287" s="625"/>
      <c r="D287" s="625"/>
      <c r="E287" s="849"/>
      <c r="F287" s="625"/>
      <c r="G287" s="625"/>
      <c r="H287" s="681"/>
      <c r="O287" s="844">
        <v>4.6900000000000004</v>
      </c>
      <c r="P287" s="845"/>
      <c r="Q287" s="846">
        <f t="shared" si="172"/>
        <v>5.6280000000000001</v>
      </c>
      <c r="U287" s="17"/>
      <c r="AO287" s="13"/>
      <c r="AP287" s="13"/>
    </row>
    <row r="288" spans="1:42">
      <c r="A288" s="187" t="s">
        <v>1215</v>
      </c>
      <c r="B288" s="162"/>
      <c r="E288" s="157"/>
      <c r="O288" s="844">
        <v>7.11</v>
      </c>
      <c r="P288" s="845"/>
      <c r="Q288" s="846">
        <f t="shared" si="172"/>
        <v>8.532</v>
      </c>
      <c r="AO288" s="13"/>
      <c r="AP288" s="13"/>
    </row>
    <row r="289" spans="1:42">
      <c r="A289" s="187"/>
      <c r="O289" s="844">
        <v>11.41</v>
      </c>
      <c r="P289" s="845"/>
      <c r="Q289" s="846">
        <f t="shared" si="172"/>
        <v>13.692</v>
      </c>
      <c r="AO289" s="13"/>
      <c r="AP289" s="13"/>
    </row>
    <row r="290" spans="1:42">
      <c r="A290" s="149" t="s">
        <v>119</v>
      </c>
      <c r="C290" s="157" t="s">
        <v>1216</v>
      </c>
      <c r="AO290" s="13"/>
      <c r="AP290" s="13"/>
    </row>
    <row r="291" spans="1:42" ht="15.75" thickBot="1">
      <c r="A291" s="187"/>
      <c r="B291" s="157"/>
      <c r="C291" s="148" t="s">
        <v>31</v>
      </c>
      <c r="E291" s="148" t="s">
        <v>1217</v>
      </c>
      <c r="K291" s="2309" t="s">
        <v>1218</v>
      </c>
      <c r="L291" s="2309"/>
      <c r="M291" s="2309"/>
      <c r="N291" s="2309"/>
      <c r="O291" s="2309"/>
      <c r="P291" s="1852"/>
      <c r="T291" s="1851"/>
      <c r="U291" s="627"/>
      <c r="V291" s="627"/>
      <c r="W291" s="627"/>
      <c r="X291" s="627"/>
      <c r="Y291" s="627"/>
      <c r="Z291" s="627"/>
      <c r="AA291" s="614">
        <v>0.3</v>
      </c>
      <c r="AB291" s="628">
        <v>0.13</v>
      </c>
      <c r="AC291" s="628">
        <v>0.24</v>
      </c>
      <c r="AD291" s="1851"/>
      <c r="AE291" s="188"/>
      <c r="AF291" s="188"/>
      <c r="AG291" s="1866"/>
      <c r="AH291" s="1851"/>
      <c r="AO291" s="13"/>
      <c r="AP291" s="13"/>
    </row>
    <row r="292" spans="1:42" ht="108.75" thickBot="1">
      <c r="A292" s="187"/>
      <c r="B292" s="189" t="s">
        <v>10</v>
      </c>
      <c r="C292" s="190" t="s">
        <v>11</v>
      </c>
      <c r="D292" s="190" t="s">
        <v>12</v>
      </c>
      <c r="E292" s="190" t="s">
        <v>13</v>
      </c>
      <c r="F292" s="190" t="s">
        <v>14</v>
      </c>
      <c r="G292" s="191" t="s">
        <v>15</v>
      </c>
      <c r="H292" s="347" t="s">
        <v>1090</v>
      </c>
      <c r="I292" s="348">
        <f>$C$9</f>
        <v>0.49</v>
      </c>
      <c r="J292" s="873">
        <f>$C$9</f>
        <v>0.49</v>
      </c>
      <c r="K292" s="422" t="s">
        <v>15</v>
      </c>
      <c r="L292" s="423" t="s">
        <v>12</v>
      </c>
      <c r="M292" s="196" t="s">
        <v>1091</v>
      </c>
      <c r="N292" s="549" t="s">
        <v>993</v>
      </c>
      <c r="O292" s="424" t="s">
        <v>1092</v>
      </c>
      <c r="P292" s="772" t="s">
        <v>1092</v>
      </c>
      <c r="Q292" s="200" t="s">
        <v>1093</v>
      </c>
      <c r="R292" s="201" t="s">
        <v>1094</v>
      </c>
      <c r="S292" s="350" t="s">
        <v>1095</v>
      </c>
      <c r="T292" s="203" t="s">
        <v>1095</v>
      </c>
      <c r="U292" s="204" t="s">
        <v>1096</v>
      </c>
      <c r="V292" s="205" t="s">
        <v>1093</v>
      </c>
      <c r="W292" s="206" t="s">
        <v>1094</v>
      </c>
      <c r="X292" s="207" t="s">
        <v>1097</v>
      </c>
      <c r="Y292" s="208">
        <f>$X$33</f>
        <v>0.49</v>
      </c>
      <c r="Z292" s="207" t="s">
        <v>1098</v>
      </c>
      <c r="AA292" s="209" t="s">
        <v>1099</v>
      </c>
      <c r="AB292" s="209" t="s">
        <v>1100</v>
      </c>
      <c r="AC292" s="210" t="s">
        <v>1092</v>
      </c>
      <c r="AD292" s="211" t="s">
        <v>1101</v>
      </c>
      <c r="AE292" s="209" t="s">
        <v>1102</v>
      </c>
      <c r="AF292" s="208" t="s">
        <v>1103</v>
      </c>
      <c r="AG292" s="1867" t="s">
        <v>1104</v>
      </c>
      <c r="AH292" s="213" t="s">
        <v>1116</v>
      </c>
      <c r="AI292" s="220" t="s">
        <v>1106</v>
      </c>
      <c r="AJ292" s="483" t="s">
        <v>1107</v>
      </c>
      <c r="AK292" s="484" t="s">
        <v>1108</v>
      </c>
      <c r="AL292" s="221" t="s">
        <v>1109</v>
      </c>
      <c r="AM292" s="221" t="s">
        <v>1175</v>
      </c>
      <c r="AN292" s="221" t="s">
        <v>1176</v>
      </c>
      <c r="AO292" s="220" t="s">
        <v>1112</v>
      </c>
      <c r="AP292" s="221" t="s">
        <v>1113</v>
      </c>
    </row>
    <row r="293" spans="1:42" ht="15.75">
      <c r="A293" s="187"/>
      <c r="B293" s="222" t="s">
        <v>363</v>
      </c>
      <c r="C293" s="223" t="s">
        <v>190</v>
      </c>
      <c r="D293" s="224">
        <v>115</v>
      </c>
      <c r="E293" s="223">
        <v>15</v>
      </c>
      <c r="F293" s="224">
        <v>135</v>
      </c>
      <c r="G293" s="396">
        <v>118</v>
      </c>
      <c r="H293" s="854">
        <f t="shared" ref="H293:H298" si="173">G293*(1+$H$33)</f>
        <v>126.26</v>
      </c>
      <c r="I293" s="854">
        <f t="shared" ref="I293:I298" si="174">H293-H293*$J$292</f>
        <v>64.392600000000002</v>
      </c>
      <c r="J293" s="894">
        <f t="shared" ref="J293:J298" si="175">G293-G293*$J$292</f>
        <v>60.18</v>
      </c>
      <c r="K293" s="691">
        <v>130</v>
      </c>
      <c r="L293" s="808">
        <v>131</v>
      </c>
      <c r="M293" s="878">
        <f t="shared" ref="M293:M298" si="176">L293/D293*100%</f>
        <v>1.1391304347826088</v>
      </c>
      <c r="N293" s="765">
        <f t="shared" ref="N293:N298" si="177">K293-(K293*$N$33)</f>
        <v>71.5</v>
      </c>
      <c r="O293" s="895">
        <f t="shared" ref="O293:O298" si="178">((N293/J293)-1)*100%</f>
        <v>0.188102359587903</v>
      </c>
      <c r="P293" s="482">
        <f t="shared" ref="P293:P298" si="179">((N293/I293)-1)*100%</f>
        <v>0.11037603699804022</v>
      </c>
      <c r="Q293" s="326">
        <v>1.28</v>
      </c>
      <c r="R293" s="258">
        <f t="shared" ref="R293:R298" si="180">Q284*$R$33</f>
        <v>59.825976000000004</v>
      </c>
      <c r="S293" s="259">
        <f t="shared" ref="S293:S298" si="181">((J293-R293)/J293)*100%</f>
        <v>5.8827517447656271E-3</v>
      </c>
      <c r="T293" s="237">
        <f t="shared" ref="T293:T298" si="182">((I293-R293)/I293)*100%</f>
        <v>7.0918459574547343E-2</v>
      </c>
      <c r="U293" s="238">
        <v>1.079</v>
      </c>
      <c r="V293" s="239">
        <f t="shared" ref="V293:V298" si="183">U293*$X$31</f>
        <v>1.2948</v>
      </c>
      <c r="W293" s="239">
        <f t="shared" ref="W293:W298" si="184">V293*$R$33</f>
        <v>60.898328399999997</v>
      </c>
      <c r="X293" s="240">
        <f>(ROUND(W293/(1-$AB$291),0))</f>
        <v>70</v>
      </c>
      <c r="Y293" s="239">
        <f t="shared" ref="Y293:Y298" si="185">Z293*(1-$X$33)</f>
        <v>67.320000000000007</v>
      </c>
      <c r="Z293" s="240">
        <f t="shared" ref="Z293:Z298" si="186">ROUND(X293/(1-$X$32),0)</f>
        <v>132</v>
      </c>
      <c r="AA293" s="241">
        <f t="shared" ref="AA293:AA298" si="187">((X293-W293)/X293)*100%</f>
        <v>0.13002388000000004</v>
      </c>
      <c r="AB293" s="241">
        <f t="shared" ref="AB293:AB298" si="188">((Y293-W293)/Y293)*100%</f>
        <v>9.539024955436734E-2</v>
      </c>
      <c r="AC293" s="242">
        <f t="shared" ref="AC293:AC298" si="189">((N293/Y293)-1)*100%</f>
        <v>6.2091503267973636E-2</v>
      </c>
      <c r="AD293" s="243">
        <f t="shared" ref="AD293:AD298" si="190">((N293*0.96-W293)/(N293*0.96))*100%</f>
        <v>0.11278659090909096</v>
      </c>
      <c r="AE293" s="238">
        <f t="shared" ref="AE293:AE298" si="191">N293/$R$33</f>
        <v>1.5202092148066251</v>
      </c>
      <c r="AF293" s="239">
        <f>(V293/(1-$AA$291))</f>
        <v>1.8497142857142859</v>
      </c>
      <c r="AG293" s="1868">
        <v>3.49</v>
      </c>
      <c r="AH293" s="244">
        <f t="shared" ref="AH293:AH298" si="192">((AF293-V293)/AF293)*100%</f>
        <v>0.3000000000000001</v>
      </c>
      <c r="AI293" s="92">
        <f t="shared" ref="AI293:AI298" si="193">AJ293/$AJ$299</f>
        <v>0.85688582439522687</v>
      </c>
      <c r="AJ293" s="338">
        <f>VLOOKUP($B293,[1]Статистика!$B:$D,3,FALSE)</f>
        <v>73819</v>
      </c>
      <c r="AK293" s="297">
        <f t="shared" ref="AK293:AK298" si="194">AJ293*Q293*S293</f>
        <v>555.85132933997295</v>
      </c>
      <c r="AL293" s="866">
        <f t="shared" ref="AL293:AL298" si="195">AK293/$AK$299</f>
        <v>0.14223442885262236</v>
      </c>
      <c r="AM293" s="92">
        <f t="shared" ref="AM293:AM298" si="196">AJ293/$AJ$332</f>
        <v>0.78256122124456695</v>
      </c>
      <c r="AN293" s="92">
        <f t="shared" ref="AN293:AN298" si="197">AK293/$AK$332</f>
        <v>0.73759116267806379</v>
      </c>
      <c r="AO293" s="77">
        <f t="shared" ref="AO293:AO298" si="198">AJ293/$AJ$23</f>
        <v>3.4689004771095051E-2</v>
      </c>
      <c r="AP293" s="77">
        <f t="shared" ref="AP293:AP298" si="199">AK293/$AK$23</f>
        <v>-4.7947728342830308E-3</v>
      </c>
    </row>
    <row r="294" spans="1:42" ht="15.75">
      <c r="A294" s="187"/>
      <c r="B294" s="249" t="s">
        <v>364</v>
      </c>
      <c r="C294" s="250" t="s">
        <v>192</v>
      </c>
      <c r="D294" s="251">
        <v>205</v>
      </c>
      <c r="E294" s="250">
        <v>10</v>
      </c>
      <c r="F294" s="251">
        <v>90</v>
      </c>
      <c r="G294" s="328">
        <v>230</v>
      </c>
      <c r="H294" s="357">
        <f t="shared" si="173"/>
        <v>246.10000000000002</v>
      </c>
      <c r="I294" s="357">
        <f t="shared" si="174"/>
        <v>125.51100000000001</v>
      </c>
      <c r="J294" s="434">
        <f t="shared" si="175"/>
        <v>117.3</v>
      </c>
      <c r="K294" s="321">
        <v>246</v>
      </c>
      <c r="L294" s="322">
        <v>246</v>
      </c>
      <c r="M294" s="335">
        <f t="shared" si="176"/>
        <v>1.2</v>
      </c>
      <c r="N294" s="765">
        <f t="shared" si="177"/>
        <v>135.30000000000001</v>
      </c>
      <c r="O294" s="329">
        <f t="shared" si="178"/>
        <v>0.15345268542199508</v>
      </c>
      <c r="P294" s="330">
        <f t="shared" si="179"/>
        <v>7.799316394578959E-2</v>
      </c>
      <c r="Q294" s="331">
        <v>2.4420073568050444</v>
      </c>
      <c r="R294" s="258">
        <f t="shared" si="180"/>
        <v>110.05722</v>
      </c>
      <c r="S294" s="259">
        <f t="shared" si="181"/>
        <v>6.1745780051150861E-2</v>
      </c>
      <c r="T294" s="260">
        <f t="shared" si="182"/>
        <v>0.12312689724406632</v>
      </c>
      <c r="U294" s="261">
        <v>1.8029999999999999</v>
      </c>
      <c r="V294" s="239">
        <f t="shared" si="183"/>
        <v>2.1635999999999997</v>
      </c>
      <c r="W294" s="262">
        <f t="shared" si="184"/>
        <v>101.7605988</v>
      </c>
      <c r="X294" s="240">
        <f>(ROUND(W294/(1-$AB$291),0))</f>
        <v>117</v>
      </c>
      <c r="Y294" s="239">
        <f t="shared" si="185"/>
        <v>112.71000000000001</v>
      </c>
      <c r="Z294" s="263">
        <f t="shared" si="186"/>
        <v>221</v>
      </c>
      <c r="AA294" s="264">
        <f t="shared" si="187"/>
        <v>0.13025129230769233</v>
      </c>
      <c r="AB294" s="241">
        <f t="shared" si="188"/>
        <v>9.7146670215597641E-2</v>
      </c>
      <c r="AC294" s="242">
        <f t="shared" si="189"/>
        <v>0.20042587170614845</v>
      </c>
      <c r="AD294" s="266">
        <f t="shared" si="190"/>
        <v>0.21655119179600893</v>
      </c>
      <c r="AE294" s="261">
        <f t="shared" si="191"/>
        <v>2.8767035910956138</v>
      </c>
      <c r="AF294" s="239">
        <f>(V294/(1-$AB$291))</f>
        <v>2.4868965517241377</v>
      </c>
      <c r="AG294" s="1869">
        <v>4.6900000000000004</v>
      </c>
      <c r="AH294" s="267">
        <f t="shared" si="192"/>
        <v>0.13000000000000003</v>
      </c>
      <c r="AI294" s="77">
        <f t="shared" si="193"/>
        <v>8.1510888238844781E-2</v>
      </c>
      <c r="AJ294" s="333">
        <f>VLOOKUP($B294,[1]Статистика!$B:$D,3,FALSE)</f>
        <v>7022</v>
      </c>
      <c r="AK294" s="270">
        <f t="shared" si="194"/>
        <v>1058.8027842370404</v>
      </c>
      <c r="AL294" s="506">
        <f t="shared" si="195"/>
        <v>0.27093253417661983</v>
      </c>
      <c r="AM294" s="65">
        <f t="shared" si="196"/>
        <v>7.4440792960882005E-2</v>
      </c>
      <c r="AN294" s="65">
        <f t="shared" si="197"/>
        <v>1.4049864333319104</v>
      </c>
      <c r="AO294" s="77">
        <f t="shared" si="198"/>
        <v>3.2997763651990602E-3</v>
      </c>
      <c r="AP294" s="77">
        <f t="shared" si="199"/>
        <v>-9.1332314213427874E-3</v>
      </c>
    </row>
    <row r="295" spans="1:42" ht="15.75">
      <c r="A295" s="187"/>
      <c r="B295" s="356" t="s">
        <v>365</v>
      </c>
      <c r="C295" s="250" t="s">
        <v>194</v>
      </c>
      <c r="D295" s="251">
        <v>290</v>
      </c>
      <c r="E295" s="250">
        <v>8</v>
      </c>
      <c r="F295" s="251">
        <v>64</v>
      </c>
      <c r="G295" s="328">
        <v>382</v>
      </c>
      <c r="H295" s="357">
        <f t="shared" si="173"/>
        <v>408.74</v>
      </c>
      <c r="I295" s="357">
        <f t="shared" si="174"/>
        <v>208.45740000000001</v>
      </c>
      <c r="J295" s="434">
        <f t="shared" si="175"/>
        <v>194.82</v>
      </c>
      <c r="K295" s="321">
        <v>442</v>
      </c>
      <c r="L295" s="322">
        <v>416</v>
      </c>
      <c r="M295" s="335">
        <f t="shared" si="176"/>
        <v>1.4344827586206896</v>
      </c>
      <c r="N295" s="765">
        <f t="shared" si="177"/>
        <v>243.1</v>
      </c>
      <c r="O295" s="329">
        <f t="shared" si="178"/>
        <v>0.24781849912739973</v>
      </c>
      <c r="P295" s="330">
        <f t="shared" si="179"/>
        <v>0.16618551320317709</v>
      </c>
      <c r="Q295" s="336">
        <v>3.2135514018691591</v>
      </c>
      <c r="R295" s="258">
        <f t="shared" si="180"/>
        <v>153.51571200000001</v>
      </c>
      <c r="S295" s="259">
        <f t="shared" si="181"/>
        <v>0.21201256544502611</v>
      </c>
      <c r="T295" s="260">
        <f t="shared" si="182"/>
        <v>0.26356314527572539</v>
      </c>
      <c r="U295" s="261">
        <v>2.5870000000000002</v>
      </c>
      <c r="V295" s="239">
        <f t="shared" si="183"/>
        <v>3.1044</v>
      </c>
      <c r="W295" s="262">
        <f t="shared" si="184"/>
        <v>146.00924520000001</v>
      </c>
      <c r="X295" s="240">
        <f>(ROUND(W295/(1-$AA$291),0))</f>
        <v>209</v>
      </c>
      <c r="Y295" s="239">
        <f t="shared" si="185"/>
        <v>200.94</v>
      </c>
      <c r="Z295" s="263">
        <f t="shared" si="186"/>
        <v>394</v>
      </c>
      <c r="AA295" s="264">
        <f t="shared" si="187"/>
        <v>0.30139117129186599</v>
      </c>
      <c r="AB295" s="241">
        <f t="shared" si="188"/>
        <v>0.27336893998208417</v>
      </c>
      <c r="AC295" s="242">
        <f t="shared" si="189"/>
        <v>0.20981387478849411</v>
      </c>
      <c r="AD295" s="266">
        <f t="shared" si="190"/>
        <v>0.37436049465240634</v>
      </c>
      <c r="AE295" s="261">
        <f t="shared" si="191"/>
        <v>5.1687113303425249</v>
      </c>
      <c r="AF295" s="239">
        <f>(V295/(1-$AA$291))</f>
        <v>4.4348571428571431</v>
      </c>
      <c r="AG295" s="1869">
        <v>8.3699999999999992</v>
      </c>
      <c r="AH295" s="267">
        <f t="shared" si="192"/>
        <v>0.30000000000000004</v>
      </c>
      <c r="AI295" s="77">
        <f t="shared" si="193"/>
        <v>3.9873241398523468E-2</v>
      </c>
      <c r="AJ295" s="333">
        <f>VLOOKUP($B295,[1]Статистика!$B:$D,3,FALSE)</f>
        <v>3435</v>
      </c>
      <c r="AK295" s="270">
        <f t="shared" si="194"/>
        <v>2340.3111061506088</v>
      </c>
      <c r="AL295" s="506">
        <f t="shared" si="195"/>
        <v>0.59885223970956292</v>
      </c>
      <c r="AM295" s="65">
        <f t="shared" si="196"/>
        <v>3.6414714300858686E-2</v>
      </c>
      <c r="AN295" s="65">
        <f t="shared" si="197"/>
        <v>3.105493679152882</v>
      </c>
      <c r="AO295" s="77">
        <f t="shared" si="198"/>
        <v>1.6141742828907394E-3</v>
      </c>
      <c r="AP295" s="77">
        <f t="shared" si="199"/>
        <v>-2.0187520517160801E-2</v>
      </c>
    </row>
    <row r="296" spans="1:42" ht="15.75">
      <c r="A296" s="271"/>
      <c r="B296" s="249" t="s">
        <v>366</v>
      </c>
      <c r="C296" s="250" t="s">
        <v>209</v>
      </c>
      <c r="D296" s="251">
        <v>480</v>
      </c>
      <c r="E296" s="250">
        <v>8</v>
      </c>
      <c r="F296" s="251">
        <v>24</v>
      </c>
      <c r="G296" s="328">
        <v>570</v>
      </c>
      <c r="H296" s="357">
        <f t="shared" si="173"/>
        <v>609.90000000000009</v>
      </c>
      <c r="I296" s="357">
        <f t="shared" si="174"/>
        <v>311.04900000000004</v>
      </c>
      <c r="J296" s="434">
        <f t="shared" si="175"/>
        <v>290.7</v>
      </c>
      <c r="K296" s="321">
        <v>627</v>
      </c>
      <c r="L296" s="322">
        <v>590</v>
      </c>
      <c r="M296" s="335">
        <f t="shared" si="176"/>
        <v>1.2291666666666667</v>
      </c>
      <c r="N296" s="765">
        <f t="shared" si="177"/>
        <v>344.84999999999997</v>
      </c>
      <c r="O296" s="329">
        <f t="shared" si="178"/>
        <v>0.18627450980392157</v>
      </c>
      <c r="P296" s="330">
        <f t="shared" si="179"/>
        <v>0.10866776617188911</v>
      </c>
      <c r="Q296" s="331">
        <v>5.6878512396694214</v>
      </c>
      <c r="R296" s="258">
        <f t="shared" si="180"/>
        <v>264.70172400000001</v>
      </c>
      <c r="S296" s="259">
        <f t="shared" si="181"/>
        <v>8.9433353973168137E-2</v>
      </c>
      <c r="T296" s="260">
        <f t="shared" si="182"/>
        <v>0.14900313455436287</v>
      </c>
      <c r="U296" s="261">
        <v>4.3339999999999996</v>
      </c>
      <c r="V296" s="239">
        <f t="shared" si="183"/>
        <v>5.2007999999999992</v>
      </c>
      <c r="W296" s="262">
        <f t="shared" si="184"/>
        <v>244.60922639999998</v>
      </c>
      <c r="X296" s="240">
        <f>(ROUND(W296/(1-$AC$291),0))</f>
        <v>322</v>
      </c>
      <c r="Y296" s="239">
        <f t="shared" si="185"/>
        <v>310.08</v>
      </c>
      <c r="Z296" s="263">
        <f t="shared" si="186"/>
        <v>608</v>
      </c>
      <c r="AA296" s="264">
        <f t="shared" si="187"/>
        <v>0.2403440173913044</v>
      </c>
      <c r="AB296" s="241">
        <f t="shared" si="188"/>
        <v>0.21114155572755419</v>
      </c>
      <c r="AC296" s="242">
        <f t="shared" si="189"/>
        <v>0.11213235294117641</v>
      </c>
      <c r="AD296" s="266">
        <f t="shared" si="190"/>
        <v>0.26112432216905901</v>
      </c>
      <c r="AE296" s="261">
        <f t="shared" si="191"/>
        <v>7.332085982182722</v>
      </c>
      <c r="AF296" s="239">
        <f>(V296/(1-$AC$291))</f>
        <v>6.8431578947368408</v>
      </c>
      <c r="AG296" s="1869">
        <v>12.91</v>
      </c>
      <c r="AH296" s="267">
        <f t="shared" si="192"/>
        <v>0.23999999999999996</v>
      </c>
      <c r="AI296" s="77">
        <f t="shared" si="193"/>
        <v>1.3244648744021916E-2</v>
      </c>
      <c r="AJ296" s="333">
        <f>VLOOKUP($B296,[1]Статистика!$B:$D,3,FALSE)</f>
        <v>1141</v>
      </c>
      <c r="AK296" s="270">
        <f t="shared" si="194"/>
        <v>580.40800273431364</v>
      </c>
      <c r="AL296" s="506">
        <f t="shared" si="195"/>
        <v>0.14851813140112907</v>
      </c>
      <c r="AM296" s="65">
        <f t="shared" si="196"/>
        <v>1.2095833775045054E-2</v>
      </c>
      <c r="AN296" s="65">
        <f t="shared" si="197"/>
        <v>0.77017682780896235</v>
      </c>
      <c r="AO296" s="77">
        <f t="shared" si="198"/>
        <v>5.3617841536487151E-4</v>
      </c>
      <c r="AP296" s="77">
        <f t="shared" si="199"/>
        <v>-5.0065986666172927E-3</v>
      </c>
    </row>
    <row r="297" spans="1:42" ht="15.75">
      <c r="A297" s="187"/>
      <c r="B297" s="249" t="s">
        <v>367</v>
      </c>
      <c r="C297" s="250" t="s">
        <v>303</v>
      </c>
      <c r="D297" s="251">
        <v>745</v>
      </c>
      <c r="E297" s="250">
        <v>3</v>
      </c>
      <c r="F297" s="251">
        <v>15</v>
      </c>
      <c r="G297" s="328">
        <v>766</v>
      </c>
      <c r="H297" s="357">
        <f t="shared" si="173"/>
        <v>819.62</v>
      </c>
      <c r="I297" s="357">
        <f t="shared" si="174"/>
        <v>418.00620000000004</v>
      </c>
      <c r="J297" s="434">
        <f t="shared" si="175"/>
        <v>390.66</v>
      </c>
      <c r="K297" s="321">
        <v>960</v>
      </c>
      <c r="L297" s="322">
        <v>839</v>
      </c>
      <c r="M297" s="335">
        <f t="shared" si="176"/>
        <v>1.1261744966442953</v>
      </c>
      <c r="N297" s="765">
        <f t="shared" si="177"/>
        <v>528</v>
      </c>
      <c r="O297" s="329">
        <f t="shared" si="178"/>
        <v>0.35155890032253101</v>
      </c>
      <c r="P297" s="330">
        <f t="shared" si="179"/>
        <v>0.26313915917993547</v>
      </c>
      <c r="Q297" s="331">
        <v>8.9184076433121025</v>
      </c>
      <c r="R297" s="258">
        <f t="shared" si="180"/>
        <v>401.28555599999999</v>
      </c>
      <c r="S297" s="259">
        <f t="shared" si="181"/>
        <v>-2.7198986330824654E-2</v>
      </c>
      <c r="T297" s="260">
        <f t="shared" si="182"/>
        <v>4.0000947354369501E-2</v>
      </c>
      <c r="U297" s="261">
        <v>6.7389999999999999</v>
      </c>
      <c r="V297" s="239">
        <f t="shared" si="183"/>
        <v>8.0868000000000002</v>
      </c>
      <c r="W297" s="262">
        <f t="shared" si="184"/>
        <v>380.3464644</v>
      </c>
      <c r="X297" s="240">
        <f>(ROUND(W297/(1-$AC$291),0))</f>
        <v>500</v>
      </c>
      <c r="Y297" s="239">
        <f t="shared" si="185"/>
        <v>480.93</v>
      </c>
      <c r="Z297" s="263">
        <f t="shared" si="186"/>
        <v>943</v>
      </c>
      <c r="AA297" s="264">
        <f t="shared" si="187"/>
        <v>0.2393070712</v>
      </c>
      <c r="AB297" s="241">
        <f t="shared" si="188"/>
        <v>0.20914381635581061</v>
      </c>
      <c r="AC297" s="242">
        <f t="shared" si="189"/>
        <v>9.7872871311833309E-2</v>
      </c>
      <c r="AD297" s="266">
        <f t="shared" si="190"/>
        <v>0.24963213304924242</v>
      </c>
      <c r="AE297" s="261">
        <f t="shared" si="191"/>
        <v>11.226160355495077</v>
      </c>
      <c r="AF297" s="239">
        <f>(V297/(1-$AC$291))</f>
        <v>10.640526315789474</v>
      </c>
      <c r="AG297" s="1869">
        <v>20.079999999999998</v>
      </c>
      <c r="AH297" s="267">
        <f t="shared" si="192"/>
        <v>0.24000000000000002</v>
      </c>
      <c r="AI297" s="77">
        <f t="shared" si="193"/>
        <v>4.2252867158842919E-3</v>
      </c>
      <c r="AJ297" s="333">
        <f>VLOOKUP($B297,[1]Статистика!$B:$D,3,FALSE)</f>
        <v>364</v>
      </c>
      <c r="AK297" s="270">
        <f t="shared" si="194"/>
        <v>-88.296079720273141</v>
      </c>
      <c r="AL297" s="506">
        <f t="shared" si="195"/>
        <v>-2.2593707716505994E-2</v>
      </c>
      <c r="AM297" s="65">
        <f t="shared" si="196"/>
        <v>3.8587935969468887E-3</v>
      </c>
      <c r="AN297" s="65">
        <f t="shared" si="197"/>
        <v>-0.11716515669418916</v>
      </c>
      <c r="AO297" s="77">
        <f t="shared" si="198"/>
        <v>1.7105078281578725E-4</v>
      </c>
      <c r="AP297" s="77">
        <f t="shared" si="199"/>
        <v>7.6164186729418956E-4</v>
      </c>
    </row>
    <row r="298" spans="1:42" ht="16.5" thickBot="1">
      <c r="A298" s="187"/>
      <c r="B298" s="274" t="s">
        <v>368</v>
      </c>
      <c r="C298" s="275" t="s">
        <v>305</v>
      </c>
      <c r="D298" s="276">
        <v>1200</v>
      </c>
      <c r="E298" s="275">
        <v>3</v>
      </c>
      <c r="F298" s="276">
        <v>12</v>
      </c>
      <c r="G298" s="339">
        <v>1140</v>
      </c>
      <c r="H298" s="867">
        <f t="shared" si="173"/>
        <v>1219.8000000000002</v>
      </c>
      <c r="I298" s="357">
        <f t="shared" si="174"/>
        <v>622.09800000000007</v>
      </c>
      <c r="J298" s="434">
        <f t="shared" si="175"/>
        <v>581.4</v>
      </c>
      <c r="K298" s="340">
        <v>1224</v>
      </c>
      <c r="L298" s="341">
        <v>1072</v>
      </c>
      <c r="M298" s="896">
        <f t="shared" si="176"/>
        <v>0.89333333333333331</v>
      </c>
      <c r="N298" s="767">
        <f t="shared" si="177"/>
        <v>673.19999999999993</v>
      </c>
      <c r="O298" s="448">
        <f t="shared" si="178"/>
        <v>0.15789473684210509</v>
      </c>
      <c r="P298" s="449">
        <f t="shared" si="179"/>
        <v>8.2144613871126149E-2</v>
      </c>
      <c r="Q298" s="344">
        <v>13.647649402390437</v>
      </c>
      <c r="R298" s="258">
        <f t="shared" si="180"/>
        <v>643.97583600000007</v>
      </c>
      <c r="S298" s="259">
        <f t="shared" si="181"/>
        <v>-0.10762957688338511</v>
      </c>
      <c r="T298" s="287">
        <f t="shared" si="182"/>
        <v>-3.516782886297657E-2</v>
      </c>
      <c r="U298" s="288">
        <v>10.382</v>
      </c>
      <c r="V298" s="239">
        <f t="shared" si="183"/>
        <v>12.458399999999999</v>
      </c>
      <c r="W298" s="289">
        <f t="shared" si="184"/>
        <v>585.95592720000002</v>
      </c>
      <c r="X298" s="240">
        <f>(ROUND(W298/(1-$AB$291),0))</f>
        <v>674</v>
      </c>
      <c r="Y298" s="291">
        <f t="shared" si="185"/>
        <v>648.72</v>
      </c>
      <c r="Z298" s="290">
        <f t="shared" si="186"/>
        <v>1272</v>
      </c>
      <c r="AA298" s="292">
        <f t="shared" si="187"/>
        <v>0.13062918813056376</v>
      </c>
      <c r="AB298" s="241">
        <f t="shared" si="188"/>
        <v>9.6750636330003706E-2</v>
      </c>
      <c r="AC298" s="293">
        <f t="shared" si="189"/>
        <v>3.7735849056603543E-2</v>
      </c>
      <c r="AD298" s="294">
        <f t="shared" si="190"/>
        <v>9.3329237225192985E-2</v>
      </c>
      <c r="AE298" s="288">
        <f t="shared" si="191"/>
        <v>14.313354453256222</v>
      </c>
      <c r="AF298" s="239">
        <f>(V298/(1-$AB$291))</f>
        <v>14.319999999999999</v>
      </c>
      <c r="AG298" s="1870">
        <v>27.02</v>
      </c>
      <c r="AH298" s="295">
        <f t="shared" si="192"/>
        <v>0.12999999999999995</v>
      </c>
      <c r="AI298" s="77">
        <f t="shared" si="193"/>
        <v>4.2601105074987228E-3</v>
      </c>
      <c r="AJ298" s="333">
        <f>VLOOKUP($B298,[1]Статистика!$B:$D,3,FALSE)</f>
        <v>367</v>
      </c>
      <c r="AK298" s="270">
        <f t="shared" si="194"/>
        <v>-539.08289814196837</v>
      </c>
      <c r="AL298" s="506">
        <f t="shared" si="195"/>
        <v>-0.13794362642342833</v>
      </c>
      <c r="AM298" s="65">
        <f t="shared" si="196"/>
        <v>3.8905968408777694E-3</v>
      </c>
      <c r="AN298" s="65">
        <f t="shared" si="197"/>
        <v>-0.71534016495478836</v>
      </c>
      <c r="AO298" s="77">
        <f t="shared" si="198"/>
        <v>1.7246054201481846E-4</v>
      </c>
      <c r="AP298" s="77">
        <f t="shared" si="199"/>
        <v>4.6501283688695806E-3</v>
      </c>
    </row>
    <row r="299" spans="1:42" ht="15.75" thickBot="1">
      <c r="A299" s="187"/>
      <c r="B299" s="2"/>
      <c r="C299" s="413"/>
      <c r="D299" s="414"/>
      <c r="E299" s="413"/>
      <c r="F299" s="414"/>
      <c r="G299" s="827"/>
      <c r="H299" s="785"/>
      <c r="I299" s="785"/>
      <c r="J299" s="828"/>
      <c r="M299" s="869">
        <f>AVERAGE(M293:M298)</f>
        <v>1.1703812816745991</v>
      </c>
      <c r="O299" s="870">
        <f>AVERAGE(O293:O298)</f>
        <v>0.21418361518430926</v>
      </c>
      <c r="P299" s="886"/>
      <c r="S299" s="364"/>
      <c r="T299" s="365"/>
      <c r="U299" s="366"/>
      <c r="V299" s="366"/>
      <c r="W299" s="366"/>
      <c r="X299" s="366"/>
      <c r="Y299" s="366"/>
      <c r="Z299" s="366"/>
      <c r="AA299" s="367"/>
      <c r="AB299" s="367"/>
      <c r="AC299" s="367"/>
      <c r="AD299" s="367">
        <f>AVERAGE(AD293:AD298)</f>
        <v>0.21796399496683347</v>
      </c>
      <c r="AE299" s="366"/>
      <c r="AF299" s="366"/>
      <c r="AG299" s="1872"/>
      <c r="AH299" s="367"/>
      <c r="AI299" s="512">
        <f>S293*AI293+S294*AI294+S295*AI295+S296*AI296+S297*AI297+S298*AI298</f>
        <v>1.9138504109352073E-2</v>
      </c>
      <c r="AJ299" s="513">
        <f>SUM(AJ293:AJ298)</f>
        <v>86148</v>
      </c>
      <c r="AK299" s="514">
        <f>SUM(AK293:AK298)</f>
        <v>3907.9942445996949</v>
      </c>
      <c r="AM299" s="307">
        <f>SUM(AM293:AM298)</f>
        <v>0.91326195271917743</v>
      </c>
      <c r="AN299" s="307">
        <f>SUM(AN293:AN298)</f>
        <v>5.1857427813228405</v>
      </c>
      <c r="AO299" s="308">
        <f>SUM(AO293:AO298)</f>
        <v>4.048264515938034E-2</v>
      </c>
      <c r="AP299" s="308">
        <f>SUM(AP293:AP298)</f>
        <v>-3.3710353203240145E-2</v>
      </c>
    </row>
    <row r="300" spans="1:42">
      <c r="A300" s="149" t="s">
        <v>735</v>
      </c>
      <c r="B300" s="2"/>
      <c r="C300" s="157" t="s">
        <v>1216</v>
      </c>
      <c r="F300" s="414"/>
      <c r="G300" s="827"/>
      <c r="H300" s="785"/>
      <c r="I300" s="785"/>
      <c r="J300" s="897"/>
      <c r="K300" s="533"/>
      <c r="S300" s="364"/>
      <c r="T300" s="364"/>
      <c r="U300" s="872"/>
      <c r="V300" s="872"/>
      <c r="W300" s="872"/>
      <c r="X300" s="872"/>
      <c r="Y300" s="872"/>
      <c r="Z300" s="872"/>
      <c r="AA300" s="364"/>
      <c r="AB300" s="364"/>
      <c r="AC300" s="364"/>
      <c r="AD300" s="364"/>
      <c r="AE300" s="872"/>
      <c r="AF300" s="872"/>
      <c r="AG300" s="1882"/>
      <c r="AH300" s="364"/>
      <c r="AO300" s="13"/>
      <c r="AP300" s="13"/>
    </row>
    <row r="301" spans="1:42" ht="15.75" thickBot="1">
      <c r="A301" s="187"/>
      <c r="B301" s="2"/>
      <c r="C301" s="148" t="s">
        <v>699</v>
      </c>
      <c r="E301" s="148" t="s">
        <v>1217</v>
      </c>
      <c r="F301" s="414"/>
      <c r="G301" s="827"/>
      <c r="H301" s="785"/>
      <c r="I301" s="785"/>
      <c r="J301" s="897"/>
      <c r="K301" s="1850" t="s">
        <v>1219</v>
      </c>
      <c r="L301" s="1850"/>
      <c r="M301" s="1850"/>
      <c r="N301" s="898"/>
      <c r="O301" s="899"/>
      <c r="P301" s="459"/>
      <c r="S301" s="364"/>
      <c r="T301" s="1851"/>
      <c r="U301" s="627"/>
      <c r="V301" s="627"/>
      <c r="W301" s="627"/>
      <c r="X301" s="627"/>
      <c r="Y301" s="627"/>
      <c r="Z301" s="627"/>
      <c r="AA301" s="614">
        <v>0.2</v>
      </c>
      <c r="AB301" s="628">
        <v>0.12</v>
      </c>
      <c r="AC301" s="628"/>
      <c r="AD301" s="1851"/>
      <c r="AE301" s="188"/>
      <c r="AF301" s="188"/>
      <c r="AG301" s="1866"/>
      <c r="AH301" s="1851"/>
      <c r="AO301" s="13"/>
      <c r="AP301" s="13"/>
    </row>
    <row r="302" spans="1:42" ht="108.75" thickBot="1">
      <c r="A302" s="187"/>
      <c r="B302" s="189" t="s">
        <v>10</v>
      </c>
      <c r="C302" s="190" t="s">
        <v>11</v>
      </c>
      <c r="D302" s="190" t="s">
        <v>12</v>
      </c>
      <c r="E302" s="190" t="s">
        <v>13</v>
      </c>
      <c r="F302" s="190" t="s">
        <v>14</v>
      </c>
      <c r="G302" s="191" t="s">
        <v>15</v>
      </c>
      <c r="H302" s="347" t="s">
        <v>1090</v>
      </c>
      <c r="I302" s="347">
        <f>$C$9</f>
        <v>0.49</v>
      </c>
      <c r="J302" s="873">
        <f>$C$9</f>
        <v>0.49</v>
      </c>
      <c r="K302" s="874" t="s">
        <v>15</v>
      </c>
      <c r="L302" s="315" t="s">
        <v>12</v>
      </c>
      <c r="M302" s="316" t="s">
        <v>1091</v>
      </c>
      <c r="N302" s="605" t="s">
        <v>993</v>
      </c>
      <c r="O302" s="317" t="s">
        <v>1092</v>
      </c>
      <c r="P302" s="602" t="s">
        <v>1092</v>
      </c>
      <c r="Q302" s="200" t="s">
        <v>1093</v>
      </c>
      <c r="R302" s="201" t="s">
        <v>1094</v>
      </c>
      <c r="S302" s="350" t="s">
        <v>1095</v>
      </c>
      <c r="T302" s="203" t="s">
        <v>1095</v>
      </c>
      <c r="U302" s="204" t="s">
        <v>1096</v>
      </c>
      <c r="V302" s="205" t="s">
        <v>1093</v>
      </c>
      <c r="W302" s="206" t="s">
        <v>1094</v>
      </c>
      <c r="X302" s="207" t="s">
        <v>1097</v>
      </c>
      <c r="Y302" s="208">
        <f>$X$33</f>
        <v>0.49</v>
      </c>
      <c r="Z302" s="207" t="s">
        <v>1098</v>
      </c>
      <c r="AA302" s="209" t="s">
        <v>1099</v>
      </c>
      <c r="AB302" s="209" t="s">
        <v>1100</v>
      </c>
      <c r="AC302" s="210" t="s">
        <v>1092</v>
      </c>
      <c r="AD302" s="211" t="s">
        <v>1101</v>
      </c>
      <c r="AE302" s="209" t="s">
        <v>1102</v>
      </c>
      <c r="AF302" s="208" t="s">
        <v>1103</v>
      </c>
      <c r="AG302" s="1867" t="s">
        <v>1104</v>
      </c>
      <c r="AH302" s="213" t="s">
        <v>1116</v>
      </c>
      <c r="AI302" s="220" t="s">
        <v>1106</v>
      </c>
      <c r="AJ302" s="483" t="s">
        <v>1107</v>
      </c>
      <c r="AK302" s="484" t="s">
        <v>1108</v>
      </c>
      <c r="AL302" s="221" t="s">
        <v>1109</v>
      </c>
      <c r="AM302" s="221" t="s">
        <v>1175</v>
      </c>
      <c r="AN302" s="221" t="s">
        <v>1176</v>
      </c>
      <c r="AO302" s="220" t="s">
        <v>1112</v>
      </c>
      <c r="AP302" s="221" t="s">
        <v>1113</v>
      </c>
    </row>
    <row r="303" spans="1:42" ht="16.5" thickBot="1">
      <c r="A303" s="187"/>
      <c r="B303" s="249" t="s">
        <v>1220</v>
      </c>
      <c r="C303" s="250" t="s">
        <v>190</v>
      </c>
      <c r="D303" s="251">
        <v>131</v>
      </c>
      <c r="E303" s="250">
        <v>15</v>
      </c>
      <c r="F303" s="251">
        <v>120</v>
      </c>
      <c r="G303" s="328">
        <v>127.92000000000002</v>
      </c>
      <c r="H303" s="357">
        <f>G303*(1+$H$33)</f>
        <v>136.87440000000004</v>
      </c>
      <c r="I303" s="357">
        <f>H303-H303*$J$292</f>
        <v>69.805944000000025</v>
      </c>
      <c r="J303" s="884">
        <f>G303-G303*$J$292</f>
        <v>65.239200000000011</v>
      </c>
      <c r="K303" s="900">
        <v>155</v>
      </c>
      <c r="L303" s="341">
        <v>131</v>
      </c>
      <c r="M303" s="342">
        <f>L303/D303*100%</f>
        <v>1</v>
      </c>
      <c r="N303" s="767">
        <f>K303-(K303*$O$33)</f>
        <v>77.5</v>
      </c>
      <c r="O303" s="901">
        <f>((N303/J303)-1)*100%</f>
        <v>0.18793608750567126</v>
      </c>
      <c r="P303" s="199">
        <f>((N303/I303)-1)*100%</f>
        <v>0.11022064252866448</v>
      </c>
      <c r="Q303" s="697">
        <v>1.52</v>
      </c>
      <c r="R303" s="258">
        <f>Q303*$R$33</f>
        <v>71.490160000000003</v>
      </c>
      <c r="S303" s="259">
        <f>((J303-R303)/J303)*100%</f>
        <v>-9.5816012458766989E-2</v>
      </c>
      <c r="T303" s="237">
        <f>((I303-R303)/I303)*100%</f>
        <v>-2.4127114447445582E-2</v>
      </c>
      <c r="U303" s="238">
        <v>1.2607999999999999</v>
      </c>
      <c r="V303" s="239">
        <f>U303*$X$31</f>
        <v>1.5129599999999999</v>
      </c>
      <c r="W303" s="239">
        <f>V303*$R$33</f>
        <v>71.15904768</v>
      </c>
      <c r="X303" s="240">
        <f>(ROUND(W303/(1-$AB$301),0))</f>
        <v>81</v>
      </c>
      <c r="Y303" s="239">
        <f>Z303*(1-$X$33)</f>
        <v>78.03</v>
      </c>
      <c r="Z303" s="240">
        <f>ROUND(X303/(1-$X$32),0)</f>
        <v>153</v>
      </c>
      <c r="AA303" s="241">
        <f>((X303-W303)/X303)*100%</f>
        <v>0.12149323851851851</v>
      </c>
      <c r="AB303" s="241">
        <f>((Y303-W303)/Y303)*100%</f>
        <v>8.8055264898116117E-2</v>
      </c>
      <c r="AC303" s="242">
        <f>((N303/Y303)-1)*100%</f>
        <v>-6.7922593874151227E-3</v>
      </c>
      <c r="AD303" s="243">
        <f>((N303*0.96-W303)/(N303*0.96))*100%</f>
        <v>4.3561187096774076E-2</v>
      </c>
      <c r="AE303" s="238">
        <f>N303/$R$33</f>
        <v>1.6477792188463418</v>
      </c>
      <c r="AF303" s="239">
        <f>(V303/(1-$AB$301))</f>
        <v>1.7192727272727271</v>
      </c>
      <c r="AG303" s="1868">
        <v>3.24</v>
      </c>
      <c r="AH303" s="244">
        <f>((AF303-V303)/AF303)*100%</f>
        <v>0.11999999999999997</v>
      </c>
      <c r="AI303" s="92">
        <f>AJ303/$AJ$306</f>
        <v>0.61001609010458568</v>
      </c>
      <c r="AJ303" s="338">
        <f>VLOOKUP($B303,[1]Статистика!$B:$D,3,FALSE)</f>
        <v>3033</v>
      </c>
      <c r="AK303" s="297">
        <f>AJ303*Q303*S303</f>
        <v>-441.7271479969092</v>
      </c>
      <c r="AL303" s="92">
        <f>AK303/$AK$306</f>
        <v>0.42885042808225632</v>
      </c>
      <c r="AM303" s="92">
        <f>AJ303/$AJ$332</f>
        <v>3.2153079614120637E-2</v>
      </c>
      <c r="AN303" s="92">
        <f>AK303/$AK$332</f>
        <v>-0.58615320946408878</v>
      </c>
      <c r="AO303" s="77">
        <f>AJ303/$AJ$23</f>
        <v>1.4252665502205567E-3</v>
      </c>
      <c r="AP303" s="77">
        <f>AK303/$AK$23</f>
        <v>3.810337796431694E-3</v>
      </c>
    </row>
    <row r="304" spans="1:42">
      <c r="A304" s="187"/>
      <c r="B304" s="249" t="s">
        <v>1221</v>
      </c>
      <c r="C304" s="250" t="s">
        <v>192</v>
      </c>
      <c r="D304" s="251">
        <v>225</v>
      </c>
      <c r="E304" s="250">
        <v>10</v>
      </c>
      <c r="F304" s="251">
        <v>90</v>
      </c>
      <c r="G304" s="328">
        <v>219.67306024096385</v>
      </c>
      <c r="H304" s="357">
        <f>G304*(1+$H$33)</f>
        <v>235.05017445783133</v>
      </c>
      <c r="I304" s="357">
        <f>H304-H304*$J$292</f>
        <v>119.87558897349398</v>
      </c>
      <c r="J304" s="884">
        <f>G304-G304*$J$292</f>
        <v>112.03326072289157</v>
      </c>
      <c r="K304" s="533"/>
      <c r="Q304" s="331">
        <v>2.62</v>
      </c>
      <c r="R304" s="258">
        <f>Q304*$R$33</f>
        <v>123.22646</v>
      </c>
      <c r="S304" s="259">
        <f>((J304-R304)/J304)*100%</f>
        <v>-9.9909609029359844E-2</v>
      </c>
      <c r="T304" s="260">
        <f>((I304-R304)/I304)*100%</f>
        <v>-2.7952905634915776E-2</v>
      </c>
      <c r="U304" s="261">
        <v>2.1650299999999998</v>
      </c>
      <c r="V304" s="239">
        <f>U304*$X$31</f>
        <v>2.5980359999999996</v>
      </c>
      <c r="W304" s="239">
        <f>V304*$R$33</f>
        <v>122.19342718799999</v>
      </c>
      <c r="X304" s="240">
        <f>(ROUND(W304/(1-$AA$301),0))</f>
        <v>153</v>
      </c>
      <c r="Y304" s="239">
        <f>Z304*(1-$X$33)</f>
        <v>147.39000000000001</v>
      </c>
      <c r="Z304" s="240">
        <f>ROUND(X304/(1-$X$32),0)</f>
        <v>289</v>
      </c>
      <c r="AA304" s="241">
        <f>((X304-W304)/X304)*100%</f>
        <v>0.2013501490980393</v>
      </c>
      <c r="AB304" s="241">
        <f>((Y304-W304)/Y304)*100%</f>
        <v>0.17095171186647687</v>
      </c>
      <c r="AC304" s="242"/>
      <c r="AD304" s="243"/>
      <c r="AE304" s="238">
        <f>N304/$R$33</f>
        <v>0</v>
      </c>
      <c r="AF304" s="239">
        <f>(V304/(1-$AA$301))</f>
        <v>3.2475449999999992</v>
      </c>
      <c r="AG304" s="1868">
        <v>6.13</v>
      </c>
      <c r="AH304" s="244">
        <f>((AF304-V304)/AF304)*100%</f>
        <v>0.19999999999999996</v>
      </c>
      <c r="AI304" s="77">
        <f>AJ304/$AJ$306</f>
        <v>0.14722445695897024</v>
      </c>
      <c r="AJ304" s="333">
        <f>VLOOKUP($B304,[1]Статистика!$B:$D,3,FALSE)</f>
        <v>732</v>
      </c>
      <c r="AK304" s="270">
        <f>AJ304*Q304*S304</f>
        <v>-191.6106445808675</v>
      </c>
      <c r="AL304" s="77">
        <f>AK304/$AK$306</f>
        <v>0.18602503225406705</v>
      </c>
      <c r="AM304" s="77">
        <f>AJ304/$AJ$332</f>
        <v>7.759991519134952E-3</v>
      </c>
      <c r="AN304" s="77">
        <f>AK304/$AK$332</f>
        <v>-0.25425920683811848</v>
      </c>
      <c r="AO304" s="77">
        <f>AJ304/$AJ$23</f>
        <v>3.4398124456361609E-4</v>
      </c>
      <c r="AP304" s="77">
        <f>AK304/$AK$23</f>
        <v>1.6528331676146555E-3</v>
      </c>
    </row>
    <row r="305" spans="1:42" ht="15.75" thickBot="1">
      <c r="A305" s="187"/>
      <c r="B305" s="274" t="s">
        <v>1222</v>
      </c>
      <c r="C305" s="275" t="s">
        <v>194</v>
      </c>
      <c r="D305" s="276">
        <v>290</v>
      </c>
      <c r="E305" s="275">
        <v>8</v>
      </c>
      <c r="F305" s="276">
        <v>96</v>
      </c>
      <c r="G305" s="339">
        <v>283.17069879518073</v>
      </c>
      <c r="H305" s="360">
        <f>G305*(1+$H$33)</f>
        <v>302.99264771084341</v>
      </c>
      <c r="I305" s="360">
        <f>H305-H305*$J$292</f>
        <v>154.52625033253014</v>
      </c>
      <c r="J305" s="887">
        <f>G305-G305*$J$292</f>
        <v>144.41705638554217</v>
      </c>
      <c r="K305" s="533"/>
      <c r="Q305" s="336">
        <v>3.37</v>
      </c>
      <c r="R305" s="258">
        <f>Q305*$R$33</f>
        <v>158.50121000000001</v>
      </c>
      <c r="S305" s="259">
        <f>((J305-R305)/J305)*100%</f>
        <v>-9.7524170392021894E-2</v>
      </c>
      <c r="T305" s="260">
        <f>((I305-R305)/I305)*100%</f>
        <v>-2.5723523730861442E-2</v>
      </c>
      <c r="U305" s="261">
        <v>2.790505</v>
      </c>
      <c r="V305" s="239">
        <f>U305*$X$31</f>
        <v>3.3486059999999997</v>
      </c>
      <c r="W305" s="239">
        <f>V305*$R$33</f>
        <v>157.494985998</v>
      </c>
      <c r="X305" s="240">
        <f>(ROUND(W305/(1-$AA$301),0))</f>
        <v>197</v>
      </c>
      <c r="Y305" s="239">
        <f>Z305*(1-$X$33)</f>
        <v>189.72</v>
      </c>
      <c r="Z305" s="240">
        <f>ROUND(X305/(1-$X$32),0)</f>
        <v>372</v>
      </c>
      <c r="AA305" s="241">
        <f>((X305-W305)/X305)*100%</f>
        <v>0.20053306599999998</v>
      </c>
      <c r="AB305" s="241">
        <f>((Y305-W305)/Y305)*100%</f>
        <v>0.16985565044275772</v>
      </c>
      <c r="AC305" s="242"/>
      <c r="AD305" s="243"/>
      <c r="AE305" s="238">
        <f>N305/$R$33</f>
        <v>0</v>
      </c>
      <c r="AF305" s="239">
        <f>(V305/(1-$AA$301))</f>
        <v>4.1857574999999994</v>
      </c>
      <c r="AG305" s="1868">
        <v>7.9</v>
      </c>
      <c r="AH305" s="244">
        <f>((AF305-V305)/AF305)*100%</f>
        <v>0.19999999999999993</v>
      </c>
      <c r="AI305" s="77">
        <f>AJ305/$AJ$306</f>
        <v>0.24275945293644408</v>
      </c>
      <c r="AJ305" s="333">
        <f>VLOOKUP($B305,[1]Статистика!$B:$D,3,FALSE)</f>
        <v>1207</v>
      </c>
      <c r="AK305" s="270">
        <f>AJ305*Q305*S305</f>
        <v>-396.68834024488433</v>
      </c>
      <c r="AL305" s="77">
        <f>AK305/$AK$306</f>
        <v>0.38512453966367655</v>
      </c>
      <c r="AM305" s="77">
        <f>AJ305/$AJ$332</f>
        <v>1.2795505141524435E-2</v>
      </c>
      <c r="AN305" s="77">
        <f>AK305/$AK$332</f>
        <v>-0.52638861986619034</v>
      </c>
      <c r="AO305" s="77">
        <f>AJ305/$AJ$23</f>
        <v>5.6719311774355819E-4</v>
      </c>
      <c r="AP305" s="77">
        <f>AK305/$AK$23</f>
        <v>3.4218331001231892E-3</v>
      </c>
    </row>
    <row r="306" spans="1:42" ht="15.75" thickBot="1">
      <c r="A306" s="187"/>
      <c r="B306" s="2"/>
      <c r="C306" s="413"/>
      <c r="D306" s="414"/>
      <c r="E306" s="413"/>
      <c r="F306" s="414"/>
      <c r="G306" s="827"/>
      <c r="H306" s="785"/>
      <c r="I306" s="785"/>
      <c r="J306" s="897"/>
      <c r="K306" s="533"/>
      <c r="S306" s="364"/>
      <c r="T306" s="365"/>
      <c r="U306" s="366"/>
      <c r="V306" s="366"/>
      <c r="W306" s="366"/>
      <c r="X306" s="366"/>
      <c r="Y306" s="366"/>
      <c r="Z306" s="366"/>
      <c r="AA306" s="367"/>
      <c r="AB306" s="367"/>
      <c r="AC306" s="367"/>
      <c r="AD306" s="367"/>
      <c r="AE306" s="366"/>
      <c r="AF306" s="366"/>
      <c r="AG306" s="1872"/>
      <c r="AH306" s="367"/>
      <c r="AI306" s="512">
        <f>S303*AI303+S304*AI304+S305*AI305</f>
        <v>-9.6833361476287641E-2</v>
      </c>
      <c r="AJ306" s="513">
        <f>SUM(AJ303:AJ305)</f>
        <v>4972</v>
      </c>
      <c r="AK306" s="514">
        <f>SUM(AK303:AK305)</f>
        <v>-1030.0261328226611</v>
      </c>
      <c r="AM306" s="307">
        <f>SUM(AM300:AM305)</f>
        <v>5.2708576274780025E-2</v>
      </c>
      <c r="AN306" s="307">
        <f>SUM(AN300:AN305)</f>
        <v>-1.3668010361683978</v>
      </c>
      <c r="AO306" s="308">
        <f>SUM(AO303:AO305)</f>
        <v>2.3364409125277309E-3</v>
      </c>
      <c r="AP306" s="308">
        <f>SUM(AP303:AP305)</f>
        <v>8.8850040641695396E-3</v>
      </c>
    </row>
    <row r="307" spans="1:42">
      <c r="A307" s="187"/>
      <c r="B307" s="2"/>
      <c r="C307" s="413"/>
      <c r="D307" s="414"/>
      <c r="E307" s="413"/>
      <c r="F307" s="414"/>
      <c r="G307" s="827"/>
      <c r="H307" s="785"/>
      <c r="I307" s="785"/>
      <c r="J307" s="897"/>
      <c r="K307" s="533"/>
      <c r="S307" s="364"/>
      <c r="T307" s="364"/>
      <c r="U307" s="872"/>
      <c r="V307" s="872"/>
      <c r="W307" s="872"/>
      <c r="X307" s="872"/>
      <c r="Y307" s="872"/>
      <c r="Z307" s="872"/>
      <c r="AA307" s="364"/>
      <c r="AB307" s="364"/>
      <c r="AC307" s="364"/>
      <c r="AD307" s="364"/>
      <c r="AE307" s="872"/>
      <c r="AF307" s="872"/>
      <c r="AG307" s="1882"/>
      <c r="AH307" s="364"/>
      <c r="AO307" s="13"/>
      <c r="AP307" s="13"/>
    </row>
    <row r="308" spans="1:42">
      <c r="A308" s="187"/>
      <c r="B308" s="2"/>
      <c r="C308" s="413"/>
      <c r="D308" s="414"/>
      <c r="E308" s="413"/>
      <c r="F308" s="414"/>
      <c r="G308" s="827"/>
      <c r="H308" s="785"/>
      <c r="I308" s="785"/>
      <c r="J308" s="897"/>
      <c r="K308" s="533"/>
      <c r="S308" s="364"/>
      <c r="T308" s="364"/>
      <c r="U308" s="872"/>
      <c r="V308" s="872"/>
      <c r="W308" s="872"/>
      <c r="X308" s="872"/>
      <c r="Y308" s="872"/>
      <c r="Z308" s="872"/>
      <c r="AA308" s="364"/>
      <c r="AB308" s="364"/>
      <c r="AC308" s="364"/>
      <c r="AD308" s="364"/>
      <c r="AE308" s="872"/>
      <c r="AF308" s="872"/>
      <c r="AG308" s="1882"/>
      <c r="AH308" s="364"/>
      <c r="AO308" s="13"/>
      <c r="AP308" s="13"/>
    </row>
    <row r="309" spans="1:42">
      <c r="A309" s="902"/>
      <c r="B309" s="903" t="s">
        <v>1223</v>
      </c>
      <c r="C309" s="904"/>
      <c r="D309" s="1857"/>
      <c r="E309" s="904" t="s">
        <v>1224</v>
      </c>
      <c r="F309" s="1857"/>
      <c r="G309" s="905">
        <v>-0.18</v>
      </c>
      <c r="H309" s="906"/>
      <c r="I309" s="906"/>
      <c r="J309" s="897"/>
      <c r="K309" s="533"/>
      <c r="S309" s="364"/>
      <c r="T309" s="364"/>
      <c r="U309" s="872"/>
      <c r="V309" s="872"/>
      <c r="W309" s="872"/>
      <c r="X309" s="872"/>
      <c r="Y309" s="872"/>
      <c r="Z309" s="872"/>
      <c r="AA309" s="364"/>
      <c r="AB309" s="364"/>
      <c r="AC309" s="364"/>
      <c r="AD309" s="364"/>
      <c r="AE309" s="872"/>
      <c r="AF309" s="872"/>
      <c r="AG309" s="1882"/>
      <c r="AH309" s="364"/>
      <c r="AO309" s="13"/>
      <c r="AP309" s="13"/>
    </row>
    <row r="310" spans="1:42">
      <c r="A310" s="149" t="s">
        <v>736</v>
      </c>
      <c r="B310" s="2"/>
      <c r="C310" s="413"/>
      <c r="D310" s="414"/>
      <c r="E310" s="413"/>
      <c r="F310" s="414"/>
      <c r="G310" s="827"/>
      <c r="H310" s="785"/>
      <c r="I310" s="785"/>
      <c r="J310" s="897"/>
      <c r="K310" s="533"/>
      <c r="S310" s="364"/>
      <c r="T310" s="364"/>
      <c r="U310" s="872"/>
      <c r="V310" s="872"/>
      <c r="W310" s="872"/>
      <c r="X310" s="872"/>
      <c r="Y310" s="872"/>
      <c r="Z310" s="872"/>
      <c r="AA310" s="364"/>
      <c r="AB310" s="364"/>
      <c r="AC310" s="364"/>
      <c r="AD310" s="364"/>
      <c r="AE310" s="872"/>
      <c r="AF310" s="872"/>
      <c r="AG310" s="1882"/>
      <c r="AH310" s="364"/>
      <c r="AO310" s="13"/>
      <c r="AP310" s="13"/>
    </row>
    <row r="311" spans="1:42">
      <c r="A311" s="187"/>
      <c r="B311" s="157" t="s">
        <v>787</v>
      </c>
      <c r="E311" s="414"/>
      <c r="F311" s="827"/>
      <c r="G311" s="907"/>
      <c r="H311" s="908"/>
      <c r="I311" s="785"/>
      <c r="J311" s="532"/>
      <c r="K311" s="533"/>
      <c r="S311" s="364"/>
      <c r="T311" s="364"/>
      <c r="U311" s="872"/>
      <c r="V311" s="872"/>
      <c r="W311" s="872"/>
      <c r="X311" s="872"/>
      <c r="Y311" s="872"/>
      <c r="Z311" s="872"/>
      <c r="AA311" s="364"/>
      <c r="AB311" s="364"/>
      <c r="AC311" s="364"/>
      <c r="AD311" s="364"/>
      <c r="AE311" s="872"/>
      <c r="AF311" s="872"/>
      <c r="AG311" s="1882"/>
      <c r="AH311" s="364"/>
      <c r="AO311" s="13"/>
      <c r="AP311" s="13"/>
    </row>
    <row r="312" spans="1:42" ht="15.75" thickBot="1">
      <c r="A312" s="187"/>
      <c r="B312" s="2"/>
      <c r="C312" s="148" t="s">
        <v>31</v>
      </c>
      <c r="F312" s="414"/>
      <c r="G312" s="827"/>
      <c r="H312" s="785"/>
      <c r="I312" s="785"/>
      <c r="J312" s="897"/>
      <c r="K312" s="1850" t="s">
        <v>1225</v>
      </c>
      <c r="L312" s="1850"/>
      <c r="M312" s="1850"/>
      <c r="N312" s="898"/>
      <c r="O312" s="899"/>
      <c r="P312" s="459"/>
      <c r="S312" s="364"/>
      <c r="T312" s="1851"/>
      <c r="U312" s="627"/>
      <c r="V312" s="627"/>
      <c r="W312" s="627"/>
      <c r="X312" s="627"/>
      <c r="Y312" s="627"/>
      <c r="Z312" s="627"/>
      <c r="AA312" s="614">
        <v>0.1</v>
      </c>
      <c r="AB312" s="628"/>
      <c r="AC312" s="628"/>
      <c r="AD312" s="1851"/>
      <c r="AE312" s="188"/>
      <c r="AF312" s="188"/>
      <c r="AG312" s="1866"/>
      <c r="AH312" s="1851"/>
      <c r="AO312" s="13"/>
      <c r="AP312" s="13"/>
    </row>
    <row r="313" spans="1:42" ht="108.75" thickBot="1">
      <c r="A313" s="187"/>
      <c r="B313" s="189" t="s">
        <v>10</v>
      </c>
      <c r="C313" s="190" t="s">
        <v>11</v>
      </c>
      <c r="D313" s="190" t="s">
        <v>12</v>
      </c>
      <c r="E313" s="190" t="s">
        <v>13</v>
      </c>
      <c r="F313" s="190" t="s">
        <v>14</v>
      </c>
      <c r="G313" s="191" t="s">
        <v>15</v>
      </c>
      <c r="H313" s="347" t="s">
        <v>1090</v>
      </c>
      <c r="I313" s="347">
        <f>$C$9</f>
        <v>0.49</v>
      </c>
      <c r="J313" s="873">
        <f>$C$9</f>
        <v>0.49</v>
      </c>
      <c r="K313" s="601" t="s">
        <v>15</v>
      </c>
      <c r="L313" s="315" t="s">
        <v>12</v>
      </c>
      <c r="M313" s="316" t="s">
        <v>1091</v>
      </c>
      <c r="N313" s="605" t="s">
        <v>993</v>
      </c>
      <c r="O313" s="317" t="s">
        <v>1092</v>
      </c>
      <c r="P313" s="602" t="s">
        <v>1092</v>
      </c>
      <c r="Q313" s="200" t="s">
        <v>1093</v>
      </c>
      <c r="R313" s="201" t="s">
        <v>1094</v>
      </c>
      <c r="S313" s="350" t="s">
        <v>1095</v>
      </c>
      <c r="T313" s="203" t="s">
        <v>1095</v>
      </c>
      <c r="U313" s="204" t="s">
        <v>1096</v>
      </c>
      <c r="V313" s="205" t="s">
        <v>1093</v>
      </c>
      <c r="W313" s="206" t="s">
        <v>1094</v>
      </c>
      <c r="X313" s="207" t="s">
        <v>1097</v>
      </c>
      <c r="Y313" s="208">
        <f>$X$33</f>
        <v>0.49</v>
      </c>
      <c r="Z313" s="207" t="s">
        <v>1098</v>
      </c>
      <c r="AA313" s="209" t="s">
        <v>1099</v>
      </c>
      <c r="AB313" s="209" t="s">
        <v>1100</v>
      </c>
      <c r="AC313" s="210" t="s">
        <v>1092</v>
      </c>
      <c r="AD313" s="211" t="s">
        <v>1101</v>
      </c>
      <c r="AE313" s="209" t="s">
        <v>1102</v>
      </c>
      <c r="AF313" s="208" t="s">
        <v>1103</v>
      </c>
      <c r="AG313" s="1867" t="s">
        <v>1104</v>
      </c>
      <c r="AH313" s="213" t="s">
        <v>1116</v>
      </c>
      <c r="AI313" s="220" t="s">
        <v>1106</v>
      </c>
      <c r="AJ313" s="483" t="s">
        <v>1107</v>
      </c>
      <c r="AK313" s="484" t="s">
        <v>1108</v>
      </c>
      <c r="AL313" s="221" t="s">
        <v>1109</v>
      </c>
      <c r="AM313" s="221" t="s">
        <v>1175</v>
      </c>
      <c r="AN313" s="221" t="s">
        <v>1176</v>
      </c>
      <c r="AO313" s="220" t="s">
        <v>1112</v>
      </c>
      <c r="AP313" s="221" t="s">
        <v>1113</v>
      </c>
    </row>
    <row r="314" spans="1:42" ht="15.75">
      <c r="A314" s="187"/>
      <c r="B314" s="909" t="s">
        <v>1226</v>
      </c>
      <c r="C314" s="910" t="s">
        <v>190</v>
      </c>
      <c r="D314" s="433">
        <v>270</v>
      </c>
      <c r="E314" s="250">
        <v>10</v>
      </c>
      <c r="F314" s="251">
        <v>90</v>
      </c>
      <c r="G314" s="911">
        <v>190</v>
      </c>
      <c r="H314" s="357">
        <f>G314*(1+$H$33)</f>
        <v>203.3</v>
      </c>
      <c r="I314" s="357">
        <f>H314-H314*$J$292</f>
        <v>103.68300000000001</v>
      </c>
      <c r="J314" s="884">
        <f>G314-G314*$J$292</f>
        <v>96.9</v>
      </c>
      <c r="K314" s="912">
        <v>267</v>
      </c>
      <c r="L314" s="322">
        <v>212</v>
      </c>
      <c r="M314" s="860">
        <f>L314/D314*100%</f>
        <v>0.78518518518518521</v>
      </c>
      <c r="N314" s="765">
        <f>K314-(K314*$O$33)</f>
        <v>133.5</v>
      </c>
      <c r="O314" s="469">
        <f>((N314/J314)-1)*100%</f>
        <v>0.37770897832817329</v>
      </c>
      <c r="P314" s="470">
        <f>((N314/I314)-1)*100%</f>
        <v>0.28757848441885359</v>
      </c>
      <c r="Q314" s="913">
        <v>2.4</v>
      </c>
      <c r="R314" s="258">
        <f>Q314*$R$33</f>
        <v>112.8792</v>
      </c>
      <c r="S314" s="259">
        <f>((J314-R314)/J314)*100%</f>
        <v>-0.16490402476780175</v>
      </c>
      <c r="T314" s="237">
        <f>((I314-R314)/I314)*100%</f>
        <v>-8.869535025028201E-2</v>
      </c>
      <c r="U314" s="238">
        <v>2.3324799999999999</v>
      </c>
      <c r="V314" s="239">
        <f>U314*$X$31</f>
        <v>2.7989759999999997</v>
      </c>
      <c r="W314" s="239">
        <f>V314*$R$33</f>
        <v>131.64423820799999</v>
      </c>
      <c r="X314" s="240">
        <f>(ROUND(W314/(1-$AA$312),0))</f>
        <v>146</v>
      </c>
      <c r="Y314" s="239">
        <f>Z314*(1-$X$33)</f>
        <v>140.25</v>
      </c>
      <c r="Z314" s="240">
        <f>ROUND(X314/(1-$X$32),0)</f>
        <v>275</v>
      </c>
      <c r="AA314" s="241">
        <f>((X314-W314)/X314)*100%</f>
        <v>9.8327135561643908E-2</v>
      </c>
      <c r="AB314" s="241">
        <f>((Y314-W314)/Y314)*100%</f>
        <v>6.1360155379679211E-2</v>
      </c>
      <c r="AC314" s="265">
        <f>((N314/Y314)-1)*100%</f>
        <v>-4.8128342245989275E-2</v>
      </c>
      <c r="AD314" s="243">
        <f>((N314*0.96-W314)/(N314*0.96))*100%</f>
        <v>-2.7186627715355755E-2</v>
      </c>
      <c r="AE314" s="238">
        <f>N314/$R$33</f>
        <v>2.8384325898836984</v>
      </c>
      <c r="AF314" s="239">
        <f>(V314/(1-$AA$312))</f>
        <v>3.109973333333333</v>
      </c>
      <c r="AG314" s="1868">
        <v>5.87</v>
      </c>
      <c r="AH314" s="244">
        <f>((AF314-V314)/AF314)*100%</f>
        <v>0.10000000000000002</v>
      </c>
      <c r="AI314" s="866">
        <f>AJ314/$AJ$316</f>
        <v>0.81392322706571241</v>
      </c>
      <c r="AJ314" s="864">
        <f>[1]Статистика!D388</f>
        <v>1251</v>
      </c>
      <c r="AK314" s="865">
        <f>AJ314*Q314*S314</f>
        <v>-495.10784396284799</v>
      </c>
      <c r="AL314" s="866">
        <f>AK314/$AK$316</f>
        <v>0.83301081810146782</v>
      </c>
      <c r="AM314" s="92">
        <f>AJ314/$AJ$332</f>
        <v>1.3261952719177355E-2</v>
      </c>
      <c r="AN314" s="92">
        <f>AK314/$AK$332</f>
        <v>-0.65698713127701913</v>
      </c>
      <c r="AO314" s="506"/>
      <c r="AP314" s="506"/>
    </row>
    <row r="315" spans="1:42" ht="16.5" thickBot="1">
      <c r="A315" s="187"/>
      <c r="B315" s="914" t="s">
        <v>1227</v>
      </c>
      <c r="C315" s="915" t="s">
        <v>194</v>
      </c>
      <c r="D315" s="916">
        <v>363</v>
      </c>
      <c r="E315" s="275">
        <v>6</v>
      </c>
      <c r="F315" s="276">
        <v>60</v>
      </c>
      <c r="G315" s="917">
        <v>290</v>
      </c>
      <c r="H315" s="444">
        <f>G315*(1+$H$33)</f>
        <v>310.3</v>
      </c>
      <c r="I315" s="444">
        <f>H315-H315*$J$292</f>
        <v>158.25300000000001</v>
      </c>
      <c r="J315" s="884">
        <f>G315-G315*$J$292</f>
        <v>147.9</v>
      </c>
      <c r="K315" s="398">
        <v>314</v>
      </c>
      <c r="L315" s="322">
        <v>296</v>
      </c>
      <c r="M315" s="860">
        <f>L315/D315*100%</f>
        <v>0.81542699724517909</v>
      </c>
      <c r="N315" s="765">
        <f>K315-(K315*$N$33)</f>
        <v>172.7</v>
      </c>
      <c r="O315" s="918">
        <f>((N315/J315)-1)*100%</f>
        <v>0.16768086544962801</v>
      </c>
      <c r="P315" s="919">
        <f>((N315/I315)-1)*100%</f>
        <v>9.1290528457596221E-2</v>
      </c>
      <c r="Q315" s="920">
        <v>3.46</v>
      </c>
      <c r="R315" s="258">
        <f>Q315*$R$33</f>
        <v>162.73418000000001</v>
      </c>
      <c r="S315" s="259">
        <f>((J315-R315)/J315)*100%</f>
        <v>-0.10029871534820826</v>
      </c>
      <c r="T315" s="260">
        <f>((I315-R315)/I315)*100%</f>
        <v>-2.8316556400194589E-2</v>
      </c>
      <c r="U315" s="261">
        <v>3.365745</v>
      </c>
      <c r="V315" s="239">
        <f>U315*$X$31</f>
        <v>4.038894</v>
      </c>
      <c r="W315" s="262">
        <f>V315*$R$33</f>
        <v>189.961301502</v>
      </c>
      <c r="X315" s="240">
        <f>(ROUND(W315/(1-$AA$312),0))</f>
        <v>211</v>
      </c>
      <c r="Y315" s="239">
        <f>Z315*(1-$X$33)</f>
        <v>202.98</v>
      </c>
      <c r="Z315" s="263">
        <f>ROUND(X315/(1-$X$32),0)</f>
        <v>398</v>
      </c>
      <c r="AA315" s="264">
        <f>((X315-W315)/X315)*100%</f>
        <v>9.9709471554502382E-2</v>
      </c>
      <c r="AB315" s="241">
        <f>((Y315-W315)/Y315)*100%</f>
        <v>6.41378386934673E-2</v>
      </c>
      <c r="AC315" s="265">
        <f>((N315/Y315)-1)*100%</f>
        <v>-0.14917725884323585</v>
      </c>
      <c r="AD315" s="266">
        <f>((N315*0.96-W315)/(N315*0.96))*100%</f>
        <v>-0.1457808670020268</v>
      </c>
      <c r="AE315" s="261">
        <f>N315/$R$33</f>
        <v>3.6718899496098483</v>
      </c>
      <c r="AF315" s="239">
        <f>(V315/(1-$AA$312))</f>
        <v>4.48766</v>
      </c>
      <c r="AG315" s="1869">
        <v>8.4700000000000006</v>
      </c>
      <c r="AH315" s="267">
        <f>((AF315-V315)/AF315)*100%</f>
        <v>0.1</v>
      </c>
      <c r="AI315" s="506">
        <f>AJ315/$AJ$316</f>
        <v>0.18607677293428757</v>
      </c>
      <c r="AJ315" s="862">
        <f>[1]Статистика!D389</f>
        <v>286</v>
      </c>
      <c r="AK315" s="859">
        <f>AJ315*Q315*S315</f>
        <v>-99.251596759972969</v>
      </c>
      <c r="AL315" s="921">
        <f>AK315/$AK$316</f>
        <v>0.16698918189853212</v>
      </c>
      <c r="AM315" s="77">
        <f>AJ315/$AJ$332</f>
        <v>3.0319092547439839E-3</v>
      </c>
      <c r="AN315" s="77">
        <f>AK315/$AK$332</f>
        <v>-0.13170266362188993</v>
      </c>
      <c r="AO315" s="506"/>
      <c r="AP315" s="506"/>
    </row>
    <row r="316" spans="1:42" ht="15.75" thickBot="1">
      <c r="A316" s="149" t="s">
        <v>737</v>
      </c>
      <c r="B316" s="2"/>
      <c r="C316" s="413"/>
      <c r="D316" s="827"/>
      <c r="E316" s="413"/>
      <c r="F316" s="414"/>
      <c r="G316" s="922">
        <v>-0.15</v>
      </c>
      <c r="H316" s="923"/>
      <c r="I316" s="923"/>
      <c r="J316" s="897"/>
      <c r="K316" s="533"/>
      <c r="P316" s="924"/>
      <c r="S316" s="364"/>
      <c r="T316" s="365"/>
      <c r="U316" s="366"/>
      <c r="V316" s="366"/>
      <c r="W316" s="366"/>
      <c r="X316" s="366"/>
      <c r="Y316" s="366"/>
      <c r="Z316" s="366"/>
      <c r="AA316" s="367"/>
      <c r="AB316" s="367"/>
      <c r="AC316" s="367"/>
      <c r="AD316" s="367">
        <f>AVERAGE(AD314:AD315)</f>
        <v>-8.6483747358691285E-2</v>
      </c>
      <c r="AE316" s="366"/>
      <c r="AF316" s="366"/>
      <c r="AG316" s="1872"/>
      <c r="AH316" s="367"/>
      <c r="AI316" s="512">
        <f>S314*AI314+S315*AI315</f>
        <v>-0.15288247727658266</v>
      </c>
      <c r="AJ316" s="513">
        <f>SUM(AJ314:AJ315)</f>
        <v>1537</v>
      </c>
      <c r="AK316" s="514">
        <f>SUM(AK314:AK315)</f>
        <v>-594.35944072282098</v>
      </c>
      <c r="AM316" s="307">
        <f>SUM(AM314:AM315)</f>
        <v>1.6293861973921339E-2</v>
      </c>
      <c r="AN316" s="307">
        <f>SUM(AN314:AN315)</f>
        <v>-0.78868979489890911</v>
      </c>
      <c r="AO316" s="308"/>
      <c r="AP316" s="308"/>
    </row>
    <row r="317" spans="1:42">
      <c r="A317" s="187"/>
      <c r="B317" s="157" t="s">
        <v>787</v>
      </c>
      <c r="E317" s="414"/>
      <c r="F317" s="827"/>
      <c r="G317" s="907"/>
      <c r="H317" s="908"/>
      <c r="I317" s="785"/>
      <c r="J317" s="532"/>
      <c r="K317" s="533"/>
      <c r="S317" s="364"/>
      <c r="T317" s="364"/>
      <c r="U317" s="872"/>
      <c r="V317" s="872"/>
      <c r="W317" s="872"/>
      <c r="X317" s="872"/>
      <c r="Y317" s="872"/>
      <c r="Z317" s="872"/>
      <c r="AA317" s="364"/>
      <c r="AB317" s="364"/>
      <c r="AC317" s="364"/>
      <c r="AD317" s="364"/>
      <c r="AE317" s="872"/>
      <c r="AF317" s="872"/>
      <c r="AG317" s="1882"/>
      <c r="AH317" s="364"/>
      <c r="AO317" s="13"/>
      <c r="AP317" s="13"/>
    </row>
    <row r="318" spans="1:42" ht="15.75" thickBot="1">
      <c r="A318" s="187"/>
      <c r="B318" s="2"/>
      <c r="C318" s="148" t="s">
        <v>699</v>
      </c>
      <c r="F318" s="414"/>
      <c r="G318" s="827"/>
      <c r="H318" s="785"/>
      <c r="I318" s="785"/>
      <c r="J318" s="897"/>
      <c r="K318" s="1850" t="s">
        <v>1228</v>
      </c>
      <c r="L318" s="1850"/>
      <c r="M318" s="1850"/>
      <c r="N318" s="898"/>
      <c r="O318" s="899"/>
      <c r="P318" s="459"/>
      <c r="S318" s="364"/>
      <c r="T318" s="1851"/>
      <c r="U318" s="627"/>
      <c r="V318" s="627"/>
      <c r="W318" s="627"/>
      <c r="X318" s="627"/>
      <c r="Y318" s="627"/>
      <c r="Z318" s="627"/>
      <c r="AA318" s="614">
        <v>0.1</v>
      </c>
      <c r="AB318" s="628"/>
      <c r="AC318" s="628"/>
      <c r="AD318" s="1851"/>
      <c r="AE318" s="188"/>
      <c r="AF318" s="188"/>
      <c r="AG318" s="1866"/>
      <c r="AH318" s="1851"/>
      <c r="AO318" s="13"/>
      <c r="AP318" s="13"/>
    </row>
    <row r="319" spans="1:42" ht="108.75" thickBot="1">
      <c r="A319" s="187"/>
      <c r="B319" s="189" t="s">
        <v>10</v>
      </c>
      <c r="C319" s="190" t="s">
        <v>11</v>
      </c>
      <c r="D319" s="190" t="s">
        <v>12</v>
      </c>
      <c r="E319" s="190" t="s">
        <v>13</v>
      </c>
      <c r="F319" s="190" t="s">
        <v>14</v>
      </c>
      <c r="G319" s="191" t="s">
        <v>15</v>
      </c>
      <c r="H319" s="347" t="s">
        <v>1090</v>
      </c>
      <c r="I319" s="347">
        <f>$C$9</f>
        <v>0.49</v>
      </c>
      <c r="J319" s="873">
        <f>$C$9</f>
        <v>0.49</v>
      </c>
      <c r="K319" s="601" t="s">
        <v>15</v>
      </c>
      <c r="L319" s="315" t="s">
        <v>12</v>
      </c>
      <c r="M319" s="316" t="s">
        <v>1091</v>
      </c>
      <c r="N319" s="605" t="s">
        <v>993</v>
      </c>
      <c r="O319" s="317" t="s">
        <v>1092</v>
      </c>
      <c r="P319" s="602" t="s">
        <v>1092</v>
      </c>
      <c r="Q319" s="200" t="s">
        <v>1093</v>
      </c>
      <c r="R319" s="201" t="s">
        <v>1094</v>
      </c>
      <c r="S319" s="350" t="s">
        <v>1095</v>
      </c>
      <c r="T319" s="203" t="s">
        <v>1095</v>
      </c>
      <c r="U319" s="204" t="s">
        <v>1096</v>
      </c>
      <c r="V319" s="205" t="s">
        <v>1093</v>
      </c>
      <c r="W319" s="206" t="s">
        <v>1094</v>
      </c>
      <c r="X319" s="207" t="s">
        <v>1097</v>
      </c>
      <c r="Y319" s="208">
        <f>$X$33</f>
        <v>0.49</v>
      </c>
      <c r="Z319" s="207" t="s">
        <v>1098</v>
      </c>
      <c r="AA319" s="209" t="s">
        <v>1099</v>
      </c>
      <c r="AB319" s="209" t="s">
        <v>1100</v>
      </c>
      <c r="AC319" s="210" t="s">
        <v>1092</v>
      </c>
      <c r="AD319" s="211" t="s">
        <v>1101</v>
      </c>
      <c r="AE319" s="209" t="s">
        <v>1102</v>
      </c>
      <c r="AF319" s="208" t="s">
        <v>1103</v>
      </c>
      <c r="AG319" s="1867" t="s">
        <v>1104</v>
      </c>
      <c r="AH319" s="213" t="s">
        <v>1116</v>
      </c>
      <c r="AI319" s="220" t="s">
        <v>1106</v>
      </c>
      <c r="AJ319" s="483" t="s">
        <v>1107</v>
      </c>
      <c r="AK319" s="484" t="s">
        <v>1108</v>
      </c>
      <c r="AL319" s="221" t="s">
        <v>1109</v>
      </c>
      <c r="AM319" s="221" t="s">
        <v>1175</v>
      </c>
      <c r="AN319" s="221" t="s">
        <v>1176</v>
      </c>
      <c r="AO319" s="220" t="s">
        <v>1112</v>
      </c>
      <c r="AP319" s="221" t="s">
        <v>1113</v>
      </c>
    </row>
    <row r="320" spans="1:42" ht="15.75">
      <c r="A320" s="187"/>
      <c r="B320" s="909" t="s">
        <v>1229</v>
      </c>
      <c r="C320" s="910" t="s">
        <v>190</v>
      </c>
      <c r="D320" s="433">
        <v>266</v>
      </c>
      <c r="E320" s="925">
        <v>6</v>
      </c>
      <c r="F320" s="926">
        <v>60</v>
      </c>
      <c r="G320" s="911">
        <v>180</v>
      </c>
      <c r="H320" s="357">
        <f>G320*(1+$H$33)</f>
        <v>192.60000000000002</v>
      </c>
      <c r="I320" s="357">
        <f>H320-H320*$J$292</f>
        <v>98.226000000000013</v>
      </c>
      <c r="J320" s="927">
        <f>G320-G320*$J$292</f>
        <v>91.8</v>
      </c>
      <c r="K320" s="928">
        <v>274</v>
      </c>
      <c r="L320" s="929">
        <v>217</v>
      </c>
      <c r="M320" s="930">
        <f>L320/D320*100%</f>
        <v>0.81578947368421051</v>
      </c>
      <c r="N320" s="931">
        <f>K320-(K320*$O$33)</f>
        <v>137</v>
      </c>
      <c r="O320" s="932">
        <f>((N320/J320)-1)*100%</f>
        <v>0.49237472766884527</v>
      </c>
      <c r="P320" s="438">
        <f>((N320/I320)-1)*100%</f>
        <v>0.3947427361391076</v>
      </c>
      <c r="Q320" s="913">
        <v>2.4</v>
      </c>
      <c r="R320" s="650">
        <f>Q320*$R$33</f>
        <v>112.8792</v>
      </c>
      <c r="S320" s="933">
        <f>((J320-R320)/J320)*100%</f>
        <v>-0.22962091503267976</v>
      </c>
      <c r="T320" s="237">
        <f>((I320-R320)/I320)*100%</f>
        <v>-0.14917842526418648</v>
      </c>
      <c r="U320" s="238">
        <v>2.311795</v>
      </c>
      <c r="V320" s="239">
        <f>U320*$X$31</f>
        <v>2.7741539999999998</v>
      </c>
      <c r="W320" s="239">
        <f>V320*$R$33</f>
        <v>130.47678508199999</v>
      </c>
      <c r="X320" s="240">
        <f>(ROUND(W320/(1-$AA$318),0))</f>
        <v>145</v>
      </c>
      <c r="Y320" s="239">
        <f>Z320*(1-$X$33)</f>
        <v>139.74</v>
      </c>
      <c r="Z320" s="240">
        <f>ROUND(X320/(1-$X$32),0)</f>
        <v>274</v>
      </c>
      <c r="AA320" s="241">
        <f>((X320-W320)/X320)*100%</f>
        <v>0.10016010288275867</v>
      </c>
      <c r="AB320" s="241">
        <f>((Y320-W320)/Y320)*100%</f>
        <v>6.6288928853585352E-2</v>
      </c>
      <c r="AC320" s="265">
        <f>((N320/Y320)-1)*100%</f>
        <v>-1.9607843137254943E-2</v>
      </c>
      <c r="AD320" s="243">
        <f>((N320*0.96-W320)/(N320*0.96))*100%</f>
        <v>7.9319869069342294E-3</v>
      </c>
      <c r="AE320" s="238">
        <f>N320/$R$33</f>
        <v>2.9128484255735332</v>
      </c>
      <c r="AF320" s="239">
        <f>(V320/(1-$AA$318))</f>
        <v>3.0823933333333331</v>
      </c>
      <c r="AG320" s="1868">
        <v>5.82</v>
      </c>
      <c r="AH320" s="244">
        <f>((AF320-V320)/AF320)*100%</f>
        <v>0.1</v>
      </c>
      <c r="AI320" s="866">
        <f>AJ320/$AJ$322</f>
        <v>0.8810679611650486</v>
      </c>
      <c r="AJ320" s="864">
        <f>VLOOKUP($B320,[1]Статистика!$B:$D,3,FALSE)</f>
        <v>363</v>
      </c>
      <c r="AK320" s="865">
        <f>AJ320*Q320*S320</f>
        <v>-200.04574117647059</v>
      </c>
      <c r="AL320" s="866">
        <f>AK320/$AK$322</f>
        <v>0.89796282618290624</v>
      </c>
      <c r="AM320" s="92">
        <f>AJ320/$AJ$332</f>
        <v>3.8481925156365949E-3</v>
      </c>
      <c r="AN320" s="92">
        <f>AK320/$AK$332</f>
        <v>-0.26545222262642348</v>
      </c>
      <c r="AO320" s="77">
        <f>AJ320/$AJ$23</f>
        <v>1.7058086308277683E-4</v>
      </c>
      <c r="AP320" s="77">
        <f>AK320/$AK$23</f>
        <v>1.7255942997309989E-3</v>
      </c>
    </row>
    <row r="321" spans="1:42" ht="16.5" thickBot="1">
      <c r="A321" s="934"/>
      <c r="B321" s="914" t="s">
        <v>1230</v>
      </c>
      <c r="C321" s="915" t="s">
        <v>192</v>
      </c>
      <c r="D321" s="916">
        <v>355</v>
      </c>
      <c r="E321" s="275">
        <v>6</v>
      </c>
      <c r="F321" s="276">
        <v>60</v>
      </c>
      <c r="G321" s="917">
        <v>285</v>
      </c>
      <c r="H321" s="444">
        <f>G321*(1+$H$33)</f>
        <v>304.95000000000005</v>
      </c>
      <c r="I321" s="444">
        <f>H321-H321*$J$292</f>
        <v>155.52450000000002</v>
      </c>
      <c r="J321" s="884">
        <f>G321-G321*$J$292</f>
        <v>145.35</v>
      </c>
      <c r="K321" s="279">
        <v>390</v>
      </c>
      <c r="L321" s="341">
        <v>317</v>
      </c>
      <c r="M321" s="507">
        <f>L321/D321*100%</f>
        <v>0.89295774647887327</v>
      </c>
      <c r="N321" s="767">
        <f>K321-(K321*$N$33)</f>
        <v>214.5</v>
      </c>
      <c r="O321" s="901">
        <f>((N321/J321)-1)*100%</f>
        <v>0.4757481940144479</v>
      </c>
      <c r="P321" s="935">
        <f>((N321/I321)-1)*100%</f>
        <v>0.37920391963967082</v>
      </c>
      <c r="Q321" s="920">
        <v>3.5</v>
      </c>
      <c r="R321" s="258">
        <f>Q321*$R$33</f>
        <v>164.6155</v>
      </c>
      <c r="S321" s="259">
        <f>((J321-R321)/J321)*100%</f>
        <v>-0.13254557963536295</v>
      </c>
      <c r="T321" s="260">
        <f>((I321-R321)/I321)*100%</f>
        <v>-5.845381274332969E-2</v>
      </c>
      <c r="U321" s="261">
        <v>3.2918699999999999</v>
      </c>
      <c r="V321" s="239">
        <f>U321*$X$31</f>
        <v>3.9502439999999996</v>
      </c>
      <c r="W321" s="262">
        <f>V321*$R$33</f>
        <v>185.79182605199998</v>
      </c>
      <c r="X321" s="240">
        <f>(ROUND(W321/(1-$AA$318),0))</f>
        <v>206</v>
      </c>
      <c r="Y321" s="239">
        <f>Z321*(1-$X$33)</f>
        <v>198.39000000000001</v>
      </c>
      <c r="Z321" s="263">
        <f>ROUND(X321/(1-$X$32),0)</f>
        <v>389</v>
      </c>
      <c r="AA321" s="264">
        <f>((X321-W321)/X321)*100%</f>
        <v>9.8097931786407883E-2</v>
      </c>
      <c r="AB321" s="241">
        <f>((Y321-W321)/Y321)*100%</f>
        <v>6.3502061333736773E-2</v>
      </c>
      <c r="AC321" s="265">
        <f>((N321/Y321)-1)*100%</f>
        <v>8.1203689702101789E-2</v>
      </c>
      <c r="AD321" s="266">
        <f>((N321*0.96-W321)/(N321*0.96))*100%</f>
        <v>9.7747542482517547E-2</v>
      </c>
      <c r="AE321" s="261">
        <f>N321/$R$33</f>
        <v>4.560627644419875</v>
      </c>
      <c r="AF321" s="239">
        <f>(V321/(1-$AA$318))</f>
        <v>4.3891599999999995</v>
      </c>
      <c r="AG321" s="1869">
        <v>8.2799999999999994</v>
      </c>
      <c r="AH321" s="267">
        <f>((AF321-V321)/AF321)*100%</f>
        <v>9.9999999999999978E-2</v>
      </c>
      <c r="AI321" s="506">
        <f>AJ321/$AJ$322</f>
        <v>0.11893203883495146</v>
      </c>
      <c r="AJ321" s="862">
        <f>VLOOKUP($B321,[1]Статистика!$B:$D,3,FALSE)</f>
        <v>49</v>
      </c>
      <c r="AK321" s="859">
        <f>AJ321*Q321*S321</f>
        <v>-22.731566907464746</v>
      </c>
      <c r="AL321" s="506">
        <f>AK321/$AK$322</f>
        <v>0.10203717381709371</v>
      </c>
      <c r="AM321" s="77">
        <f>AJ321/$AJ$332</f>
        <v>5.1945298420438889E-4</v>
      </c>
      <c r="AN321" s="77">
        <f>AK321/$AK$332</f>
        <v>-3.0163826152363547E-2</v>
      </c>
      <c r="AO321" s="77">
        <f>AJ321/$AJ$23</f>
        <v>2.3026066917509819E-5</v>
      </c>
      <c r="AP321" s="77">
        <f>AK321/$AK$23</f>
        <v>1.9608246618393237E-4</v>
      </c>
    </row>
    <row r="322" spans="1:42" ht="15.75" thickBot="1">
      <c r="A322" s="934"/>
      <c r="B322" s="2"/>
      <c r="C322" s="413"/>
      <c r="D322" s="414"/>
      <c r="E322" s="413"/>
      <c r="F322" s="414"/>
      <c r="G322" s="922">
        <v>-0.15</v>
      </c>
      <c r="H322" s="923"/>
      <c r="I322" s="923"/>
      <c r="J322" s="897"/>
      <c r="K322" s="936"/>
      <c r="L322" s="937"/>
      <c r="M322" s="938"/>
      <c r="N322" s="939"/>
      <c r="P322" s="924"/>
      <c r="S322" s="364"/>
      <c r="T322" s="365"/>
      <c r="U322" s="366"/>
      <c r="V322" s="366"/>
      <c r="W322" s="366"/>
      <c r="X322" s="366"/>
      <c r="Y322" s="366"/>
      <c r="Z322" s="366"/>
      <c r="AA322" s="367"/>
      <c r="AB322" s="367"/>
      <c r="AC322" s="367"/>
      <c r="AD322" s="367">
        <f>AVERAGE(AD320:AD321)</f>
        <v>5.2839764694725885E-2</v>
      </c>
      <c r="AE322" s="366"/>
      <c r="AF322" s="366"/>
      <c r="AG322" s="1872"/>
      <c r="AH322" s="367"/>
      <c r="AI322" s="512">
        <f>S320*AI320+S321*AI321</f>
        <v>-0.21807554747329017</v>
      </c>
      <c r="AJ322" s="513">
        <f>SUM(AJ320:AJ321)</f>
        <v>412</v>
      </c>
      <c r="AK322" s="514">
        <f>SUM(AK320:AK321)</f>
        <v>-222.77730808393534</v>
      </c>
      <c r="AM322" s="307">
        <f>SUM(AM320:AM321)</f>
        <v>4.3676454998409836E-3</v>
      </c>
      <c r="AN322" s="307">
        <f>SUM(AN320:AN321)</f>
        <v>-0.29561604877878705</v>
      </c>
      <c r="AO322" s="308"/>
      <c r="AP322" s="308"/>
    </row>
    <row r="323" spans="1:42">
      <c r="A323" s="940" t="s">
        <v>739</v>
      </c>
      <c r="B323" s="903"/>
      <c r="C323" s="904"/>
      <c r="D323" s="1857"/>
      <c r="E323" s="904" t="s">
        <v>1224</v>
      </c>
      <c r="F323" s="1857"/>
      <c r="G323" s="905">
        <v>-0.12</v>
      </c>
      <c r="H323" s="906"/>
      <c r="I323" s="906"/>
      <c r="J323" s="828"/>
      <c r="K323" s="941"/>
      <c r="L323" s="937"/>
      <c r="M323" s="938"/>
      <c r="N323" s="939"/>
      <c r="AO323" s="13"/>
      <c r="AP323" s="13"/>
    </row>
    <row r="324" spans="1:42">
      <c r="A324" s="934"/>
      <c r="B324" s="157" t="s">
        <v>1231</v>
      </c>
      <c r="E324" s="414"/>
      <c r="F324" s="827"/>
      <c r="G324" s="827"/>
      <c r="H324" s="785"/>
      <c r="I324" s="785"/>
      <c r="J324" s="828"/>
      <c r="K324" s="941"/>
      <c r="L324" s="937"/>
      <c r="M324" s="938"/>
      <c r="N324" s="939"/>
      <c r="AO324" s="13"/>
      <c r="AP324" s="13"/>
    </row>
    <row r="325" spans="1:42" ht="15.75" thickBot="1">
      <c r="A325" s="934"/>
      <c r="B325" s="2"/>
      <c r="C325" s="148" t="s">
        <v>31</v>
      </c>
      <c r="F325" s="414"/>
      <c r="G325" s="827"/>
      <c r="H325" s="785"/>
      <c r="I325" s="785"/>
      <c r="J325" s="828"/>
      <c r="K325" s="898" t="s">
        <v>1232</v>
      </c>
      <c r="L325" s="1850"/>
      <c r="M325" s="1850"/>
      <c r="N325" s="898"/>
      <c r="O325" s="899"/>
      <c r="P325" s="459"/>
      <c r="T325" s="1851"/>
      <c r="U325" s="627"/>
      <c r="V325" s="627"/>
      <c r="W325" s="627"/>
      <c r="X325" s="627"/>
      <c r="Y325" s="627"/>
      <c r="Z325" s="627"/>
      <c r="AA325" s="614">
        <v>0.09</v>
      </c>
      <c r="AB325" s="628">
        <v>0.2</v>
      </c>
      <c r="AC325" s="628"/>
      <c r="AD325" s="1851"/>
      <c r="AE325" s="188"/>
      <c r="AF325" s="188"/>
      <c r="AG325" s="1866"/>
      <c r="AH325" s="1851"/>
      <c r="AO325" s="13"/>
      <c r="AP325" s="13"/>
    </row>
    <row r="326" spans="1:42" ht="108.75" thickBot="1">
      <c r="A326" s="934"/>
      <c r="B326" s="189" t="s">
        <v>10</v>
      </c>
      <c r="C326" s="190" t="s">
        <v>11</v>
      </c>
      <c r="D326" s="190" t="s">
        <v>12</v>
      </c>
      <c r="E326" s="190" t="s">
        <v>13</v>
      </c>
      <c r="F326" s="190" t="s">
        <v>14</v>
      </c>
      <c r="G326" s="191" t="s">
        <v>15</v>
      </c>
      <c r="H326" s="347" t="s">
        <v>1090</v>
      </c>
      <c r="I326" s="347">
        <f>$C$9</f>
        <v>0.49</v>
      </c>
      <c r="J326" s="942">
        <f>$C$9</f>
        <v>0.49</v>
      </c>
      <c r="K326" s="422" t="s">
        <v>15</v>
      </c>
      <c r="L326" s="423" t="s">
        <v>12</v>
      </c>
      <c r="M326" s="196" t="s">
        <v>1091</v>
      </c>
      <c r="N326" s="549" t="s">
        <v>993</v>
      </c>
      <c r="O326" s="424" t="s">
        <v>1092</v>
      </c>
      <c r="P326" s="772" t="s">
        <v>1092</v>
      </c>
      <c r="Q326" s="200" t="s">
        <v>1093</v>
      </c>
      <c r="R326" s="201" t="s">
        <v>1094</v>
      </c>
      <c r="S326" s="350" t="s">
        <v>1095</v>
      </c>
      <c r="T326" s="203" t="s">
        <v>1095</v>
      </c>
      <c r="U326" s="204" t="s">
        <v>1096</v>
      </c>
      <c r="V326" s="205" t="s">
        <v>1093</v>
      </c>
      <c r="W326" s="206" t="s">
        <v>1094</v>
      </c>
      <c r="X326" s="207" t="s">
        <v>1097</v>
      </c>
      <c r="Y326" s="208">
        <f>$X$33</f>
        <v>0.49</v>
      </c>
      <c r="Z326" s="207" t="s">
        <v>1098</v>
      </c>
      <c r="AA326" s="209" t="s">
        <v>1099</v>
      </c>
      <c r="AB326" s="209" t="s">
        <v>1100</v>
      </c>
      <c r="AC326" s="210" t="s">
        <v>1092</v>
      </c>
      <c r="AD326" s="211" t="s">
        <v>1101</v>
      </c>
      <c r="AE326" s="209" t="s">
        <v>1102</v>
      </c>
      <c r="AF326" s="208" t="s">
        <v>1103</v>
      </c>
      <c r="AG326" s="1867" t="s">
        <v>1104</v>
      </c>
      <c r="AH326" s="213" t="s">
        <v>1116</v>
      </c>
      <c r="AI326" s="218" t="s">
        <v>1106</v>
      </c>
      <c r="AJ326" s="319" t="s">
        <v>1107</v>
      </c>
      <c r="AK326" s="320" t="s">
        <v>1108</v>
      </c>
      <c r="AL326" s="219" t="s">
        <v>1109</v>
      </c>
      <c r="AM326" s="219" t="s">
        <v>1175</v>
      </c>
      <c r="AN326" s="219" t="s">
        <v>1176</v>
      </c>
      <c r="AO326" s="220" t="s">
        <v>1112</v>
      </c>
      <c r="AP326" s="221" t="s">
        <v>1113</v>
      </c>
    </row>
    <row r="327" spans="1:42" ht="15.75">
      <c r="A327" s="934"/>
      <c r="B327" s="249" t="s">
        <v>738</v>
      </c>
      <c r="C327" s="250" t="s">
        <v>190</v>
      </c>
      <c r="D327" s="251">
        <v>655</v>
      </c>
      <c r="E327" s="250">
        <v>1</v>
      </c>
      <c r="F327" s="251">
        <v>12</v>
      </c>
      <c r="G327" s="911">
        <v>630</v>
      </c>
      <c r="H327" s="357">
        <f>G327*(1+$H$33)</f>
        <v>674.1</v>
      </c>
      <c r="I327" s="357">
        <f>H327-H327*$J$292</f>
        <v>343.791</v>
      </c>
      <c r="J327" s="434">
        <f>G327-G327*$J$292</f>
        <v>321.3</v>
      </c>
      <c r="K327" s="427">
        <v>575</v>
      </c>
      <c r="L327" s="478">
        <v>447</v>
      </c>
      <c r="M327" s="505">
        <f>L327/D327*100%</f>
        <v>0.6824427480916031</v>
      </c>
      <c r="N327" s="943">
        <v>299</v>
      </c>
      <c r="O327" s="232">
        <f>((N327/J327)-1)*100%</f>
        <v>-6.94055399937753E-2</v>
      </c>
      <c r="P327" s="325">
        <f>((N327/I327)-1)*100%</f>
        <v>-0.13028555139605169</v>
      </c>
      <c r="Q327" s="913">
        <v>7.98</v>
      </c>
      <c r="R327" s="258">
        <f>Q327*$R$33</f>
        <v>375.32334000000003</v>
      </c>
      <c r="S327" s="259">
        <f>((J327-R327)/J327)*100%</f>
        <v>-0.1681398692810458</v>
      </c>
      <c r="T327" s="237">
        <f>((I327-R327)/I327)*100%</f>
        <v>-9.1719504000977434E-2</v>
      </c>
      <c r="U327" s="238">
        <v>7.4958499999999999</v>
      </c>
      <c r="V327" s="239">
        <f>U327*$X$31</f>
        <v>8.9950200000000002</v>
      </c>
      <c r="W327" s="239">
        <f>V327*$R$33</f>
        <v>423.06277566</v>
      </c>
      <c r="X327" s="240">
        <f>(ROUND(W327/(1-$AA$325),0))</f>
        <v>465</v>
      </c>
      <c r="Y327" s="239">
        <f>Z327*(1-$X$33)</f>
        <v>447.27</v>
      </c>
      <c r="Z327" s="240">
        <f>ROUND(X327/(1-$X$32),0)</f>
        <v>877</v>
      </c>
      <c r="AA327" s="241">
        <f>((X327-W327)/X327)*100%</f>
        <v>9.0187579225806447E-2</v>
      </c>
      <c r="AB327" s="241">
        <f>((Y327-W327)/Y327)*100%</f>
        <v>5.4122173049835631E-2</v>
      </c>
      <c r="AC327" s="265">
        <f>((N327/Y327)-1)*100%</f>
        <v>-0.33149998882107001</v>
      </c>
      <c r="AD327" s="243">
        <f>((N327*0.96-W327)/(N327*0.96))*100%</f>
        <v>-0.47388090739966576</v>
      </c>
      <c r="AE327" s="238">
        <f>N327/$R$33</f>
        <v>6.3572385346458864</v>
      </c>
      <c r="AF327" s="239">
        <f>(V327/(1-$AA$325))</f>
        <v>9.8846373626373634</v>
      </c>
      <c r="AG327" s="1868">
        <v>18.649999999999999</v>
      </c>
      <c r="AH327" s="244">
        <f>((AF327-V327)/AF327)*100%</f>
        <v>9.0000000000000038E-2</v>
      </c>
      <c r="AI327" s="664">
        <f>AJ327/$AJ$330</f>
        <v>0.28786677240285485</v>
      </c>
      <c r="AJ327" s="944">
        <f>VLOOKUP($B327,[1]Статистика!$B:$D,3,FALSE)</f>
        <v>363</v>
      </c>
      <c r="AK327" s="882">
        <f>AJ327*Q327*S327</f>
        <v>-487.05748494117665</v>
      </c>
      <c r="AL327" s="664">
        <f>AK327/$AK$330</f>
        <v>0.3725880718817226</v>
      </c>
      <c r="AM327" s="334">
        <f>AJ327/$AJ$332</f>
        <v>3.8481925156365949E-3</v>
      </c>
      <c r="AN327" s="334">
        <f>AK327/$AK$332</f>
        <v>-0.64630464594803538</v>
      </c>
      <c r="AO327" s="506"/>
      <c r="AP327" s="506"/>
    </row>
    <row r="328" spans="1:42" ht="15.75">
      <c r="A328" s="934"/>
      <c r="B328" s="249" t="s">
        <v>1233</v>
      </c>
      <c r="C328" s="250" t="s">
        <v>192</v>
      </c>
      <c r="D328" s="251">
        <v>680</v>
      </c>
      <c r="E328" s="250">
        <v>1</v>
      </c>
      <c r="F328" s="251">
        <v>12</v>
      </c>
      <c r="G328" s="911">
        <v>700</v>
      </c>
      <c r="H328" s="357">
        <f>G328*(1+$H$33)</f>
        <v>749</v>
      </c>
      <c r="I328" s="357">
        <f>H328-H328*$J$292</f>
        <v>381.99</v>
      </c>
      <c r="J328" s="434">
        <f>G328-G328*$J$292</f>
        <v>357</v>
      </c>
      <c r="K328" s="321">
        <v>883</v>
      </c>
      <c r="L328" s="322">
        <v>657</v>
      </c>
      <c r="M328" s="860">
        <f>L328/D328*100%</f>
        <v>0.9661764705882353</v>
      </c>
      <c r="N328" s="945">
        <v>399</v>
      </c>
      <c r="O328" s="324">
        <f>((N328/J328)-1)*100%</f>
        <v>0.11764705882352944</v>
      </c>
      <c r="P328" s="358">
        <f>((N328/I328)-1)*100%</f>
        <v>4.452996151731714E-2</v>
      </c>
      <c r="Q328" s="946">
        <v>8.5299999999999994</v>
      </c>
      <c r="R328" s="258">
        <f>Q328*$R$33</f>
        <v>401.19148999999999</v>
      </c>
      <c r="S328" s="259">
        <f>((J328-R328)/J328)*100%</f>
        <v>-0.12378568627450977</v>
      </c>
      <c r="T328" s="260">
        <f>((I328-R328)/I328)*100%</f>
        <v>-5.0266996518233402E-2</v>
      </c>
      <c r="U328" s="261">
        <v>8.0041099999999989</v>
      </c>
      <c r="V328" s="239">
        <f>U328*$X$31</f>
        <v>9.604931999999998</v>
      </c>
      <c r="W328" s="262">
        <f>V328*$R$33</f>
        <v>451.7487667559999</v>
      </c>
      <c r="X328" s="240">
        <f>(ROUND(W328/(1-$AA$325),0))</f>
        <v>496</v>
      </c>
      <c r="Y328" s="239">
        <f>Z328*(1-$X$33)</f>
        <v>477.36</v>
      </c>
      <c r="Z328" s="263">
        <f>ROUND(X328/(1-$X$32),0)</f>
        <v>936</v>
      </c>
      <c r="AA328" s="264">
        <f>((X328-W328)/X328)*100%</f>
        <v>8.9216196056451827E-2</v>
      </c>
      <c r="AB328" s="241">
        <f>((Y328-W328)/Y328)*100%</f>
        <v>5.3651820940171187E-2</v>
      </c>
      <c r="AC328" s="265">
        <f>((N328/Y328)-1)*100%</f>
        <v>-0.16415284062342883</v>
      </c>
      <c r="AD328" s="266">
        <f>((N328*0.96-W328)/(N328*0.96))*100%</f>
        <v>-0.17937752390350861</v>
      </c>
      <c r="AE328" s="261">
        <f>N328/$R$33</f>
        <v>8.4834052686411674</v>
      </c>
      <c r="AF328" s="239">
        <f>(V328/(1-$AA$325))</f>
        <v>10.554870329670328</v>
      </c>
      <c r="AG328" s="1869">
        <v>19.920000000000002</v>
      </c>
      <c r="AH328" s="267">
        <f>((AF328-V328)/AF328)*100%</f>
        <v>9.0000000000000011E-2</v>
      </c>
      <c r="AI328" s="506">
        <f>AJ328/$AJ$330</f>
        <v>0.3267248215701824</v>
      </c>
      <c r="AJ328" s="862">
        <f>VLOOKUP($B328,[1]Статистика!$B:$D,3,FALSE)</f>
        <v>412</v>
      </c>
      <c r="AK328" s="859">
        <f>AJ328*Q328*S328</f>
        <v>-435.0274644156861</v>
      </c>
      <c r="AL328" s="664">
        <f>AK328/$AK$330</f>
        <v>0.33278627101236474</v>
      </c>
      <c r="AM328" s="77">
        <f>AJ328/$AJ$332</f>
        <v>4.3676454998409836E-3</v>
      </c>
      <c r="AN328" s="77">
        <f>AK328/$AK$332</f>
        <v>-0.57726301321661877</v>
      </c>
      <c r="AO328" s="506"/>
      <c r="AP328" s="506"/>
    </row>
    <row r="329" spans="1:42" ht="16.5" thickBot="1">
      <c r="A329" s="934"/>
      <c r="B329" s="274" t="s">
        <v>1234</v>
      </c>
      <c r="C329" s="275" t="s">
        <v>194</v>
      </c>
      <c r="D329" s="276">
        <v>710</v>
      </c>
      <c r="E329" s="275">
        <v>1</v>
      </c>
      <c r="F329" s="276">
        <v>12</v>
      </c>
      <c r="G329" s="917">
        <v>750</v>
      </c>
      <c r="H329" s="444">
        <f>G329*(1+$H$33)</f>
        <v>802.5</v>
      </c>
      <c r="I329" s="444">
        <f>H329-H329*$J$292</f>
        <v>409.27500000000003</v>
      </c>
      <c r="J329" s="434">
        <f>G329-G329*$J$292</f>
        <v>382.5</v>
      </c>
      <c r="K329" s="340">
        <v>1354</v>
      </c>
      <c r="L329" s="341">
        <v>1096</v>
      </c>
      <c r="M329" s="342">
        <f>L329/D329*100%</f>
        <v>1.5436619718309859</v>
      </c>
      <c r="N329" s="767">
        <f>K329-(K329*$N$33)</f>
        <v>744.69999999999993</v>
      </c>
      <c r="O329" s="363">
        <f>((N329/J329)-1)*100%</f>
        <v>0.94692810457516319</v>
      </c>
      <c r="P329" s="935">
        <f>((N329/I329)-1)*100%</f>
        <v>0.81955897623847007</v>
      </c>
      <c r="Q329" s="920">
        <v>8.86</v>
      </c>
      <c r="R329" s="258">
        <f>Q329*$R$33</f>
        <v>416.71238</v>
      </c>
      <c r="S329" s="259">
        <f>((J329-R329)/J329)*100%</f>
        <v>-8.944413071895424E-2</v>
      </c>
      <c r="T329" s="260">
        <f>((I329-R329)/I329)*100%</f>
        <v>-1.8172084784069297E-2</v>
      </c>
      <c r="U329" s="261">
        <v>8.3518149999999984</v>
      </c>
      <c r="V329" s="239">
        <f>U329*$X$31</f>
        <v>10.022177999999998</v>
      </c>
      <c r="W329" s="239">
        <f>V329*$R$33</f>
        <v>471.37309787399994</v>
      </c>
      <c r="X329" s="240">
        <f>(ROUND(W329/(1-$AB$325),0))</f>
        <v>589</v>
      </c>
      <c r="Y329" s="239">
        <f>Z329*(1-$X$33)</f>
        <v>566.61</v>
      </c>
      <c r="Z329" s="240">
        <f>ROUND(X329/(1-$X$32),0)</f>
        <v>1111</v>
      </c>
      <c r="AA329" s="241">
        <f>((X329-W329)/X329)*100%</f>
        <v>0.19970611566383711</v>
      </c>
      <c r="AB329" s="241">
        <f>((Y329-W329)/Y329)*100%</f>
        <v>0.16808192959178284</v>
      </c>
      <c r="AC329" s="265">
        <f>((N329/Y329)-1)*100%</f>
        <v>0.31430790137837294</v>
      </c>
      <c r="AD329" s="266">
        <f>((N329*0.96-W329)/(N329*0.96))*100%</f>
        <v>0.34065577599201025</v>
      </c>
      <c r="AE329" s="238">
        <f>N329/$R$33</f>
        <v>15.833563668062848</v>
      </c>
      <c r="AF329" s="239">
        <f>(V329/(1-$AB$325))</f>
        <v>12.527722499999998</v>
      </c>
      <c r="AG329" s="1868">
        <v>23.64</v>
      </c>
      <c r="AH329" s="244">
        <f>((AF329-V329)/AF329)*100%</f>
        <v>0.19999999999999998</v>
      </c>
      <c r="AI329" s="866">
        <f>AJ329/$AJ$330</f>
        <v>0.38540840602696275</v>
      </c>
      <c r="AJ329" s="864">
        <f>VLOOKUP($B329,[1]Статистика!$B:$D,3,FALSE)</f>
        <v>486</v>
      </c>
      <c r="AK329" s="865">
        <f>AJ329*Q329*S329</f>
        <v>-385.1428491105882</v>
      </c>
      <c r="AL329" s="652">
        <f>AK329/$AK$330</f>
        <v>0.29462565710591254</v>
      </c>
      <c r="AM329" s="92">
        <f>AJ329/$AJ$332</f>
        <v>5.1521255168027139E-3</v>
      </c>
      <c r="AN329" s="92">
        <f>AK329/$AK$332</f>
        <v>-0.51106824231209391</v>
      </c>
      <c r="AO329" s="506"/>
      <c r="AP329" s="506"/>
    </row>
    <row r="330" spans="1:42" ht="15.75" thickBot="1">
      <c r="A330" s="934"/>
      <c r="B330" s="2"/>
      <c r="C330" s="413"/>
      <c r="D330" s="414"/>
      <c r="E330" s="413"/>
      <c r="F330" s="414"/>
      <c r="G330" s="922">
        <v>-0.1</v>
      </c>
      <c r="H330" s="923"/>
      <c r="I330" s="923"/>
      <c r="J330" s="828"/>
      <c r="K330" s="941"/>
      <c r="L330" s="937"/>
      <c r="M330" s="869">
        <f>AVERAGE(M324:M329)</f>
        <v>1.0640937301702749</v>
      </c>
      <c r="N330" s="939"/>
      <c r="O330" s="870">
        <f>AVERAGE(O324:O329)</f>
        <v>0.33172320780163911</v>
      </c>
      <c r="P330" s="947"/>
      <c r="S330" s="364"/>
      <c r="T330" s="364"/>
      <c r="U330" s="872"/>
      <c r="V330" s="872"/>
      <c r="W330" s="872"/>
      <c r="X330" s="872"/>
      <c r="Y330" s="872"/>
      <c r="Z330" s="872"/>
      <c r="AA330" s="364"/>
      <c r="AB330" s="364"/>
      <c r="AC330" s="364"/>
      <c r="AD330" s="364">
        <f>AVERAGE(AD327:AD329)</f>
        <v>-0.10420088510372139</v>
      </c>
      <c r="AE330" s="872"/>
      <c r="AF330" s="872"/>
      <c r="AG330" s="1882"/>
      <c r="AH330" s="364"/>
      <c r="AI330" s="512">
        <f>S327*AI327+S328*AI328+S329*AI329</f>
        <v>-0.1233182575920138</v>
      </c>
      <c r="AJ330" s="513">
        <f>SUM(AJ327:AJ329)</f>
        <v>1261</v>
      </c>
      <c r="AK330" s="514">
        <f>SUM(AK327:AK329)</f>
        <v>-1307.2277984674511</v>
      </c>
      <c r="AM330" s="307">
        <f>SUM(AM327:AM329)</f>
        <v>1.3367963532280293E-2</v>
      </c>
      <c r="AN330" s="307">
        <f>SUM(AN327:AN329)</f>
        <v>-1.7346359014767478</v>
      </c>
      <c r="AO330" s="308"/>
      <c r="AP330" s="308"/>
    </row>
    <row r="331" spans="1:42" ht="39" customHeight="1" thickBot="1">
      <c r="A331" s="146" t="s">
        <v>819</v>
      </c>
      <c r="B331" s="948"/>
      <c r="C331" s="949"/>
      <c r="D331" s="187"/>
      <c r="E331" s="187"/>
      <c r="F331" s="934"/>
      <c r="G331" s="827"/>
      <c r="H331" s="785"/>
      <c r="I331" s="785"/>
      <c r="J331" s="828"/>
      <c r="K331" s="941"/>
      <c r="L331" s="937"/>
      <c r="M331" s="869"/>
      <c r="N331" s="939"/>
      <c r="O331" s="870"/>
      <c r="P331" s="131">
        <f>AVERAGE(P293:P298,P303,P314:P315,P320:P321,P327:P329)</f>
        <v>0.20038185363668473</v>
      </c>
      <c r="Q331" s="950" t="s">
        <v>1133</v>
      </c>
      <c r="R331" s="951">
        <f>AVERAGE(S293:S298,S303:S305,S314:S315,S320:S321,S327:S329)</f>
        <v>-6.6733926558675646E-2</v>
      </c>
      <c r="S331" s="364"/>
      <c r="T331" s="892">
        <f>AVERAGE(T293:T298,T303:T305,T314:T315,T320:T321,T327:T329)</f>
        <v>3.0524050853499565E-3</v>
      </c>
      <c r="U331" s="2331" t="s">
        <v>1235</v>
      </c>
      <c r="V331" s="2331"/>
      <c r="W331" s="2331"/>
      <c r="X331" s="2331"/>
      <c r="Y331" s="2331"/>
      <c r="Z331" s="2331"/>
      <c r="AA331" s="952">
        <f>AVERAGE(AA293:AA298,AA303:AA305,AA314:AA315,AA320:AA321,AA327:AA329)</f>
        <v>0.15442047541683701</v>
      </c>
      <c r="AB331" s="952">
        <f>AVERAGE(AB293:AB298,AB303:AB305,AB314:AB315,AB320:AB321,AB327:AB329)</f>
        <v>0.12143433770093916</v>
      </c>
      <c r="AC331" s="952">
        <f>AVERAGE(AC293:AC298,AC303:AC305,AC314:AC315,AC320:AC321,AC327:AC329)</f>
        <v>2.8301812935307868E-2</v>
      </c>
      <c r="AD331" s="952">
        <f>AVERAGE(AD293:AD298,AD303:AD305,AD314:AD315,AD320:AD321,AD327:AD329)</f>
        <v>6.9389609732762855E-2</v>
      </c>
      <c r="AE331" s="953"/>
      <c r="AF331" s="953"/>
      <c r="AG331" s="1884"/>
      <c r="AH331" s="952">
        <f>AVERAGE(AH293:AH298,AH303:AH305,AH314:AH315,AH320:AH321,AH327:AH329)</f>
        <v>0.16500000000000001</v>
      </c>
      <c r="AI331" s="2336" t="s">
        <v>1235</v>
      </c>
      <c r="AJ331" s="2336"/>
      <c r="AK331" s="2336"/>
      <c r="AL331" s="2336"/>
      <c r="AM331" s="2336"/>
      <c r="AN331" s="2337"/>
      <c r="AO331" s="13"/>
      <c r="AP331" s="13"/>
    </row>
    <row r="332" spans="1:42" ht="19.5" thickBot="1">
      <c r="A332" s="749" t="s">
        <v>5</v>
      </c>
      <c r="B332" s="187"/>
      <c r="C332" s="187"/>
      <c r="D332" s="187"/>
      <c r="E332" s="149"/>
      <c r="F332" s="934"/>
      <c r="G332" s="187"/>
      <c r="J332" s="828"/>
      <c r="K332" s="941"/>
      <c r="L332" s="937"/>
      <c r="M332" s="869"/>
      <c r="N332" s="939"/>
      <c r="O332" s="870"/>
      <c r="P332" s="870"/>
      <c r="Q332" s="786"/>
      <c r="R332" s="954"/>
      <c r="S332" s="364"/>
      <c r="T332" s="364"/>
      <c r="U332" s="872"/>
      <c r="V332" s="872"/>
      <c r="W332" s="872"/>
      <c r="X332" s="872"/>
      <c r="Y332" s="872"/>
      <c r="Z332" s="872"/>
      <c r="AA332" s="364"/>
      <c r="AB332" s="364"/>
      <c r="AC332" s="364"/>
      <c r="AD332" s="364"/>
      <c r="AE332" s="872"/>
      <c r="AF332" s="872"/>
      <c r="AG332" s="1882"/>
      <c r="AH332" s="364"/>
      <c r="AI332" s="838">
        <f>AVERAGE(AI319,AI330)</f>
        <v>-0.1233182575920138</v>
      </c>
      <c r="AJ332" s="839">
        <f>SUM(AJ299,AJ306,AJ316,AJ322,AJ330)</f>
        <v>94330</v>
      </c>
      <c r="AK332" s="840">
        <f>SUM(AK299,AK306,AK316,AK322,AK330)</f>
        <v>753.60356450282643</v>
      </c>
      <c r="AL332" s="841"/>
      <c r="AM332" s="842">
        <f>SUM(AM299,AM306,AM316,AM322,AM330)</f>
        <v>1</v>
      </c>
      <c r="AN332" s="842">
        <f>SUM(AN299,AN306,AN316,AN322,AN330)</f>
        <v>0.99999999999999867</v>
      </c>
      <c r="AO332" s="955"/>
      <c r="AP332" s="956"/>
    </row>
    <row r="333" spans="1:42">
      <c r="A333" s="2348" t="s">
        <v>822</v>
      </c>
      <c r="B333" s="2348"/>
      <c r="C333" s="2348"/>
      <c r="D333" s="187"/>
      <c r="E333" s="149"/>
      <c r="F333" s="934"/>
      <c r="G333" s="187"/>
      <c r="J333" s="828"/>
      <c r="K333" s="941"/>
      <c r="L333" s="937"/>
      <c r="M333" s="869"/>
      <c r="N333" s="939"/>
      <c r="O333" s="870"/>
      <c r="P333" s="870"/>
      <c r="Q333" s="786"/>
      <c r="R333" s="954"/>
      <c r="S333" s="364"/>
      <c r="T333" s="364"/>
      <c r="U333" s="872"/>
      <c r="V333" s="872"/>
      <c r="W333" s="872"/>
      <c r="X333" s="872"/>
      <c r="Y333" s="872"/>
      <c r="Z333" s="872"/>
      <c r="AA333" s="364"/>
      <c r="AB333" s="364"/>
      <c r="AC333" s="364"/>
      <c r="AD333" s="364"/>
      <c r="AE333" s="872"/>
      <c r="AF333" s="872"/>
      <c r="AG333" s="1882"/>
      <c r="AH333" s="364"/>
      <c r="AO333" s="13"/>
      <c r="AP333" s="13"/>
    </row>
    <row r="334" spans="1:42">
      <c r="A334" s="2348" t="s">
        <v>823</v>
      </c>
      <c r="B334" s="2348"/>
      <c r="C334" s="2348"/>
      <c r="D334" s="2348"/>
      <c r="E334" s="2348"/>
      <c r="F334" s="625"/>
      <c r="G334" s="957"/>
      <c r="H334" s="681"/>
      <c r="J334" s="828"/>
      <c r="K334" s="941"/>
      <c r="L334" s="937"/>
      <c r="M334" s="869"/>
      <c r="N334" s="939"/>
      <c r="O334" s="870"/>
      <c r="P334" s="870"/>
      <c r="Q334" s="786"/>
      <c r="R334" s="954"/>
      <c r="S334" s="364"/>
      <c r="T334" s="364"/>
      <c r="U334" s="872"/>
      <c r="V334" s="872"/>
      <c r="W334" s="872"/>
      <c r="X334" s="872"/>
      <c r="Y334" s="872"/>
      <c r="Z334" s="872"/>
      <c r="AA334" s="364"/>
      <c r="AB334" s="364"/>
      <c r="AC334" s="364"/>
      <c r="AD334" s="364"/>
      <c r="AE334" s="872"/>
      <c r="AF334" s="872"/>
      <c r="AG334" s="1882"/>
      <c r="AH334" s="364"/>
      <c r="AO334" s="13"/>
      <c r="AP334" s="13"/>
    </row>
    <row r="335" spans="1:42">
      <c r="A335" s="187" t="s">
        <v>824</v>
      </c>
      <c r="B335" s="751"/>
      <c r="C335" s="187"/>
      <c r="D335" s="187"/>
      <c r="E335" s="149"/>
      <c r="F335" s="934"/>
      <c r="G335" s="187"/>
      <c r="J335" s="828"/>
      <c r="K335" s="941"/>
      <c r="L335" s="937"/>
      <c r="M335" s="869"/>
      <c r="N335" s="939"/>
      <c r="O335" s="870"/>
      <c r="P335" s="870"/>
      <c r="Q335" s="786"/>
      <c r="R335" s="954"/>
      <c r="S335" s="364"/>
      <c r="T335" s="364"/>
      <c r="U335" s="872"/>
      <c r="V335" s="872"/>
      <c r="W335" s="872"/>
      <c r="X335" s="872"/>
      <c r="Y335" s="872"/>
      <c r="Z335" s="872"/>
      <c r="AA335" s="364"/>
      <c r="AB335" s="364"/>
      <c r="AC335" s="364"/>
      <c r="AD335" s="364"/>
      <c r="AE335" s="872"/>
      <c r="AF335" s="872"/>
      <c r="AG335" s="1882"/>
      <c r="AH335" s="364"/>
      <c r="AO335" s="13"/>
      <c r="AP335" s="13"/>
    </row>
    <row r="336" spans="1:42">
      <c r="A336" s="187" t="s">
        <v>825</v>
      </c>
      <c r="B336" s="751"/>
      <c r="C336" s="187"/>
      <c r="D336" s="187"/>
      <c r="E336" s="149"/>
      <c r="F336" s="934"/>
      <c r="G336" s="187"/>
      <c r="J336" s="828"/>
      <c r="K336" s="941"/>
      <c r="L336" s="937"/>
      <c r="M336" s="869"/>
      <c r="N336" s="939"/>
      <c r="O336" s="870"/>
      <c r="P336" s="870"/>
      <c r="Q336" s="786"/>
      <c r="R336" s="954"/>
      <c r="S336" s="364"/>
      <c r="T336" s="364"/>
      <c r="U336" s="872"/>
      <c r="V336" s="872"/>
      <c r="W336" s="872"/>
      <c r="X336" s="872"/>
      <c r="Y336" s="872"/>
      <c r="Z336" s="872"/>
      <c r="AA336" s="364"/>
      <c r="AB336" s="364"/>
      <c r="AC336" s="364"/>
      <c r="AD336" s="364"/>
      <c r="AE336" s="872"/>
      <c r="AF336" s="872"/>
      <c r="AG336" s="1882"/>
      <c r="AH336" s="364"/>
      <c r="AO336" s="13"/>
      <c r="AP336" s="13"/>
    </row>
    <row r="337" spans="1:42">
      <c r="A337" s="187"/>
      <c r="B337" s="187"/>
      <c r="C337" s="187"/>
      <c r="D337" s="187"/>
      <c r="E337" s="187"/>
      <c r="F337" s="934"/>
      <c r="G337" s="187"/>
      <c r="J337" s="828"/>
      <c r="K337" s="941"/>
      <c r="L337" s="937"/>
      <c r="M337" s="869"/>
      <c r="N337" s="939"/>
      <c r="O337" s="870"/>
      <c r="P337" s="870"/>
      <c r="Q337" s="786"/>
      <c r="R337" s="954"/>
      <c r="S337" s="364"/>
      <c r="T337" s="364"/>
      <c r="U337" s="872"/>
      <c r="V337" s="872"/>
      <c r="W337" s="872"/>
      <c r="X337" s="872"/>
      <c r="Y337" s="872"/>
      <c r="Z337" s="872"/>
      <c r="AA337" s="364"/>
      <c r="AB337" s="364"/>
      <c r="AC337" s="364"/>
      <c r="AD337" s="364"/>
      <c r="AE337" s="872"/>
      <c r="AF337" s="872"/>
      <c r="AG337" s="1882"/>
      <c r="AH337" s="364"/>
      <c r="AO337" s="13"/>
      <c r="AP337" s="13"/>
    </row>
    <row r="338" spans="1:42">
      <c r="A338" s="149" t="s">
        <v>826</v>
      </c>
      <c r="B338" s="681" t="s">
        <v>827</v>
      </c>
      <c r="C338" s="681"/>
      <c r="D338" s="681"/>
      <c r="E338" s="681"/>
      <c r="F338" s="681"/>
      <c r="G338" s="681"/>
      <c r="H338" s="681"/>
      <c r="J338" s="828"/>
      <c r="K338" s="941"/>
      <c r="L338" s="937"/>
      <c r="M338" s="869"/>
      <c r="N338" s="939"/>
      <c r="O338" s="870"/>
      <c r="P338" s="870"/>
      <c r="Q338" s="786"/>
      <c r="R338" s="954"/>
      <c r="S338" s="364"/>
      <c r="T338" s="364"/>
      <c r="U338" s="872"/>
      <c r="V338" s="872"/>
      <c r="W338" s="872"/>
      <c r="X338" s="872"/>
      <c r="Y338" s="872"/>
      <c r="Z338" s="872"/>
      <c r="AA338" s="364"/>
      <c r="AB338" s="364"/>
      <c r="AC338" s="364"/>
      <c r="AD338" s="364"/>
      <c r="AE338" s="872"/>
      <c r="AF338" s="872"/>
      <c r="AG338" s="1882"/>
      <c r="AH338" s="364"/>
      <c r="AO338" s="13"/>
      <c r="AP338" s="13"/>
    </row>
    <row r="339" spans="1:42" ht="15.75" thickBot="1">
      <c r="A339" s="187"/>
      <c r="B339" s="149"/>
      <c r="C339" s="187" t="s">
        <v>828</v>
      </c>
      <c r="D339" s="187"/>
      <c r="E339" s="187"/>
      <c r="F339" s="934"/>
      <c r="G339" s="187"/>
      <c r="J339" s="828"/>
      <c r="K339" s="941"/>
      <c r="L339" s="937"/>
      <c r="M339" s="869"/>
      <c r="N339" s="939"/>
      <c r="O339" s="870"/>
      <c r="P339" s="870"/>
      <c r="Q339" s="786"/>
      <c r="R339" s="954"/>
      <c r="S339" s="364"/>
      <c r="T339" s="364"/>
      <c r="U339" s="872"/>
      <c r="V339" s="872"/>
      <c r="W339" s="872"/>
      <c r="X339" s="872"/>
      <c r="Y339" s="872"/>
      <c r="Z339" s="872"/>
      <c r="AA339" s="364">
        <v>0.18</v>
      </c>
      <c r="AB339" s="364"/>
      <c r="AC339" s="364"/>
      <c r="AD339" s="364"/>
      <c r="AE339" s="872"/>
      <c r="AF339" s="872"/>
      <c r="AG339" s="1882"/>
      <c r="AH339" s="364"/>
      <c r="AO339" s="13"/>
      <c r="AP339" s="13"/>
    </row>
    <row r="340" spans="1:42" ht="36.75" thickBot="1">
      <c r="A340" s="187"/>
      <c r="B340" s="629" t="s">
        <v>10</v>
      </c>
      <c r="C340" s="631" t="s">
        <v>11</v>
      </c>
      <c r="D340" s="631" t="s">
        <v>12</v>
      </c>
      <c r="E340" s="631" t="s">
        <v>13</v>
      </c>
      <c r="F340" s="370" t="s">
        <v>14</v>
      </c>
      <c r="G340" s="632" t="s">
        <v>15</v>
      </c>
      <c r="H340" s="372" t="s">
        <v>1090</v>
      </c>
      <c r="I340" s="633">
        <f>$C$10</f>
        <v>0.49</v>
      </c>
      <c r="J340" s="684">
        <f>$C$10</f>
        <v>0.49</v>
      </c>
      <c r="K340" s="941"/>
      <c r="L340" s="937"/>
      <c r="M340" s="869"/>
      <c r="N340" s="939"/>
      <c r="O340" s="870"/>
      <c r="P340" s="870"/>
      <c r="Q340" s="200" t="s">
        <v>1093</v>
      </c>
      <c r="R340" s="201" t="s">
        <v>1094</v>
      </c>
      <c r="S340" s="202" t="s">
        <v>1095</v>
      </c>
      <c r="T340" s="958" t="s">
        <v>1095</v>
      </c>
      <c r="U340" s="204" t="s">
        <v>1096</v>
      </c>
      <c r="V340" s="205" t="s">
        <v>1093</v>
      </c>
      <c r="W340" s="206" t="s">
        <v>1094</v>
      </c>
      <c r="X340" s="207" t="s">
        <v>1097</v>
      </c>
      <c r="Y340" s="208">
        <f>$X$33</f>
        <v>0.49</v>
      </c>
      <c r="Z340" s="207" t="s">
        <v>1098</v>
      </c>
      <c r="AA340" s="209" t="s">
        <v>1099</v>
      </c>
      <c r="AB340" s="209" t="s">
        <v>1100</v>
      </c>
      <c r="AC340" s="210" t="s">
        <v>1092</v>
      </c>
      <c r="AD340" s="211" t="s">
        <v>1101</v>
      </c>
      <c r="AE340" s="209" t="s">
        <v>1102</v>
      </c>
      <c r="AF340" s="208" t="s">
        <v>1103</v>
      </c>
      <c r="AG340" s="1867" t="s">
        <v>1104</v>
      </c>
      <c r="AH340" s="213" t="s">
        <v>1116</v>
      </c>
      <c r="AJ340" s="483" t="s">
        <v>1107</v>
      </c>
      <c r="AK340" s="484" t="s">
        <v>1108</v>
      </c>
      <c r="AL340" s="16"/>
      <c r="AM340" s="219" t="s">
        <v>1175</v>
      </c>
      <c r="AN340" s="219" t="s">
        <v>1176</v>
      </c>
      <c r="AO340" s="13"/>
      <c r="AP340" s="13"/>
    </row>
    <row r="341" spans="1:42">
      <c r="A341" s="187"/>
      <c r="B341" s="959" t="s">
        <v>829</v>
      </c>
      <c r="C341" s="960" t="s">
        <v>190</v>
      </c>
      <c r="D341" s="961">
        <v>1185</v>
      </c>
      <c r="E341" s="960">
        <v>1</v>
      </c>
      <c r="F341" s="377">
        <v>14</v>
      </c>
      <c r="G341" s="962">
        <v>1400</v>
      </c>
      <c r="H341" s="504">
        <f>G341*(1+$H$33)</f>
        <v>1498</v>
      </c>
      <c r="I341" s="504">
        <f>H341-H341*$J$340</f>
        <v>763.98</v>
      </c>
      <c r="J341" s="690">
        <f>G341-G341*$J$340</f>
        <v>714</v>
      </c>
      <c r="K341" s="963">
        <v>-0.22</v>
      </c>
      <c r="L341" s="937"/>
      <c r="M341" s="869"/>
      <c r="N341" s="939"/>
      <c r="O341" s="870"/>
      <c r="P341" s="870"/>
      <c r="Q341" s="326">
        <v>18.05</v>
      </c>
      <c r="R341" s="258">
        <f>Q341*$R$33</f>
        <v>848.94565</v>
      </c>
      <c r="S341" s="259">
        <f>((J341-R341)/J341)*100%</f>
        <v>-0.18899950980392158</v>
      </c>
      <c r="T341" s="964">
        <f>((I341-R341)/I341)*100%</f>
        <v>-0.11121449514385191</v>
      </c>
      <c r="U341" s="238">
        <v>14.954270000000001</v>
      </c>
      <c r="V341" s="239">
        <f>U341*$X$31</f>
        <v>17.945124</v>
      </c>
      <c r="W341" s="239">
        <f>V341*$R$33</f>
        <v>844.01301709200004</v>
      </c>
      <c r="X341" s="240">
        <f>(ROUND(W341/(1-$AA$339),0))</f>
        <v>1029</v>
      </c>
      <c r="Y341" s="239">
        <f>Z341*(1-$X$33)</f>
        <v>990.42000000000007</v>
      </c>
      <c r="Z341" s="240">
        <f>ROUND(X341/(1-$X$32),0)</f>
        <v>1942</v>
      </c>
      <c r="AA341" s="241">
        <f>((X341-W341)/X341)*100%</f>
        <v>0.17977354995918363</v>
      </c>
      <c r="AB341" s="241">
        <f>((Y341-W341)/Y341)*100%</f>
        <v>0.1478231284788272</v>
      </c>
      <c r="AC341" s="265"/>
      <c r="AD341" s="243"/>
      <c r="AE341" s="238">
        <f>N341/$R$33</f>
        <v>0</v>
      </c>
      <c r="AF341" s="239">
        <f>(V341/(1-$AA$339))</f>
        <v>21.884297560975607</v>
      </c>
      <c r="AG341" s="1868">
        <v>41.29</v>
      </c>
      <c r="AH341" s="244">
        <f>((AF341-V341)/AF341)*100%</f>
        <v>0.17999999999999991</v>
      </c>
      <c r="AJ341" s="498">
        <f>[1]Статистика!D398</f>
        <v>8</v>
      </c>
      <c r="AK341" s="76">
        <f>AJ341*Q341*S341</f>
        <v>-27.291529215686278</v>
      </c>
      <c r="AL341" s="16"/>
      <c r="AM341" s="499">
        <f>AJ341/$AJ$374</f>
        <v>9.6385542168674704E-2</v>
      </c>
      <c r="AN341" s="499">
        <f>AK341/$AK$374</f>
        <v>0.16284429734356884</v>
      </c>
      <c r="AO341" s="13"/>
      <c r="AP341" s="13"/>
    </row>
    <row r="342" spans="1:42">
      <c r="A342" s="187"/>
      <c r="B342" s="813"/>
      <c r="C342" s="797"/>
      <c r="D342" s="796"/>
      <c r="E342" s="797"/>
      <c r="F342" s="414"/>
      <c r="G342" s="784"/>
      <c r="H342" s="785"/>
      <c r="I342" s="785"/>
      <c r="J342" s="828"/>
      <c r="K342" s="941"/>
      <c r="L342" s="937"/>
      <c r="M342" s="869"/>
      <c r="N342" s="939"/>
      <c r="O342" s="870"/>
      <c r="P342" s="870"/>
      <c r="Q342" s="786"/>
      <c r="R342" s="954"/>
      <c r="S342" s="364"/>
      <c r="T342" s="364"/>
      <c r="U342" s="872"/>
      <c r="V342" s="872"/>
      <c r="W342" s="872"/>
      <c r="X342" s="872"/>
      <c r="Y342" s="872"/>
      <c r="Z342" s="872"/>
      <c r="AA342" s="364"/>
      <c r="AB342" s="364"/>
      <c r="AC342" s="364"/>
      <c r="AD342" s="364"/>
      <c r="AE342" s="872"/>
      <c r="AF342" s="872"/>
      <c r="AG342" s="1882"/>
      <c r="AH342" s="364"/>
      <c r="AO342" s="13"/>
      <c r="AP342" s="13"/>
    </row>
    <row r="343" spans="1:42">
      <c r="A343" s="934"/>
      <c r="B343" s="934"/>
      <c r="C343" s="934"/>
      <c r="D343" s="934"/>
      <c r="E343" s="934"/>
      <c r="F343" s="934"/>
      <c r="G343" s="934"/>
      <c r="H343" s="530"/>
      <c r="I343" s="587"/>
      <c r="J343" s="828"/>
      <c r="K343" s="941"/>
      <c r="L343" s="937"/>
      <c r="M343" s="869"/>
      <c r="N343" s="939"/>
      <c r="O343" s="870"/>
      <c r="P343" s="870"/>
      <c r="Q343" s="786"/>
      <c r="R343" s="954"/>
      <c r="S343" s="364"/>
      <c r="T343" s="364"/>
      <c r="U343" s="872"/>
      <c r="V343" s="872"/>
      <c r="W343" s="872"/>
      <c r="X343" s="872"/>
      <c r="Y343" s="872"/>
      <c r="Z343" s="872"/>
      <c r="AA343" s="364"/>
      <c r="AB343" s="364"/>
      <c r="AC343" s="364"/>
      <c r="AD343" s="364"/>
      <c r="AE343" s="872"/>
      <c r="AF343" s="872"/>
      <c r="AG343" s="1882"/>
      <c r="AH343" s="364"/>
      <c r="AO343" s="13"/>
      <c r="AP343" s="13"/>
    </row>
    <row r="344" spans="1:42">
      <c r="A344" s="934"/>
      <c r="B344" s="934"/>
      <c r="C344" s="934"/>
      <c r="D344" s="934"/>
      <c r="E344" s="934"/>
      <c r="F344" s="934"/>
      <c r="G344" s="934"/>
      <c r="H344" s="530"/>
      <c r="I344" s="587"/>
      <c r="J344" s="828"/>
      <c r="K344" s="941"/>
      <c r="L344" s="937"/>
      <c r="M344" s="869"/>
      <c r="N344" s="939"/>
      <c r="O344" s="870"/>
      <c r="P344" s="870"/>
      <c r="Q344" s="786"/>
      <c r="R344" s="954"/>
      <c r="S344" s="364"/>
      <c r="T344" s="364"/>
      <c r="U344" s="872"/>
      <c r="V344" s="872"/>
      <c r="W344" s="872"/>
      <c r="X344" s="872"/>
      <c r="Y344" s="872"/>
      <c r="Z344" s="872"/>
      <c r="AA344" s="364"/>
      <c r="AB344" s="364"/>
      <c r="AC344" s="364"/>
      <c r="AD344" s="364"/>
      <c r="AE344" s="872"/>
      <c r="AF344" s="872"/>
      <c r="AG344" s="1882"/>
      <c r="AH344" s="364"/>
      <c r="AO344" s="13"/>
      <c r="AP344" s="13"/>
    </row>
    <row r="345" spans="1:42">
      <c r="A345" s="934"/>
      <c r="B345" s="934"/>
      <c r="C345" s="934"/>
      <c r="D345" s="934"/>
      <c r="E345" s="934"/>
      <c r="F345" s="934"/>
      <c r="G345" s="934"/>
      <c r="H345" s="530"/>
      <c r="I345" s="587"/>
      <c r="J345" s="828"/>
      <c r="K345" s="941"/>
      <c r="L345" s="937"/>
      <c r="M345" s="869"/>
      <c r="N345" s="939"/>
      <c r="O345" s="870"/>
      <c r="P345" s="870"/>
      <c r="Q345" s="786"/>
      <c r="R345" s="954"/>
      <c r="S345" s="364"/>
      <c r="T345" s="364"/>
      <c r="U345" s="872"/>
      <c r="V345" s="872"/>
      <c r="W345" s="872"/>
      <c r="X345" s="872"/>
      <c r="Y345" s="872"/>
      <c r="Z345" s="872"/>
      <c r="AA345" s="364"/>
      <c r="AB345" s="364"/>
      <c r="AC345" s="364"/>
      <c r="AD345" s="364"/>
      <c r="AE345" s="872"/>
      <c r="AF345" s="872"/>
      <c r="AG345" s="1882"/>
      <c r="AH345" s="364"/>
      <c r="AO345" s="13"/>
      <c r="AP345" s="13"/>
    </row>
    <row r="346" spans="1:42">
      <c r="A346" s="149" t="s">
        <v>830</v>
      </c>
      <c r="B346" s="2349" t="s">
        <v>831</v>
      </c>
      <c r="C346" s="2349"/>
      <c r="D346" s="2349"/>
      <c r="E346" s="2349"/>
      <c r="F346" s="2349"/>
      <c r="G346" s="2349"/>
      <c r="H346" s="1841"/>
      <c r="J346" s="828"/>
      <c r="K346" s="941"/>
      <c r="L346" s="937"/>
      <c r="M346" s="869"/>
      <c r="N346" s="939"/>
      <c r="O346" s="870"/>
      <c r="P346" s="870"/>
      <c r="Q346" s="786"/>
      <c r="R346" s="954"/>
      <c r="S346" s="364"/>
      <c r="T346" s="364"/>
      <c r="U346" s="872"/>
      <c r="V346" s="872"/>
      <c r="W346" s="872"/>
      <c r="X346" s="872"/>
      <c r="Y346" s="872"/>
      <c r="Z346" s="872"/>
      <c r="AA346" s="364"/>
      <c r="AB346" s="364"/>
      <c r="AC346" s="364"/>
      <c r="AD346" s="364"/>
      <c r="AE346" s="872"/>
      <c r="AF346" s="872"/>
      <c r="AG346" s="1882"/>
      <c r="AH346" s="364"/>
      <c r="AO346" s="13"/>
      <c r="AP346" s="13"/>
    </row>
    <row r="347" spans="1:42" ht="15.75" thickBot="1">
      <c r="A347" s="187"/>
      <c r="B347" s="149"/>
      <c r="C347" s="187" t="s">
        <v>828</v>
      </c>
      <c r="D347" s="187"/>
      <c r="E347" s="187"/>
      <c r="F347" s="934"/>
      <c r="G347" s="187"/>
      <c r="J347" s="828"/>
      <c r="K347" s="941"/>
      <c r="L347" s="937"/>
      <c r="M347" s="869"/>
      <c r="N347" s="939"/>
      <c r="O347" s="870"/>
      <c r="P347" s="870"/>
      <c r="Q347" s="786"/>
      <c r="R347" s="954"/>
      <c r="S347" s="364"/>
      <c r="T347" s="364"/>
      <c r="U347" s="872"/>
      <c r="V347" s="872"/>
      <c r="W347" s="872"/>
      <c r="X347" s="872"/>
      <c r="Y347" s="872"/>
      <c r="Z347" s="872"/>
      <c r="AA347" s="364">
        <v>0.18</v>
      </c>
      <c r="AB347" s="364"/>
      <c r="AC347" s="364"/>
      <c r="AD347" s="364"/>
      <c r="AE347" s="872"/>
      <c r="AF347" s="872"/>
      <c r="AG347" s="1882"/>
      <c r="AH347" s="364"/>
      <c r="AO347" s="13"/>
      <c r="AP347" s="13"/>
    </row>
    <row r="348" spans="1:42" ht="36.75" thickBot="1">
      <c r="A348" s="187"/>
      <c r="B348" s="629" t="s">
        <v>10</v>
      </c>
      <c r="C348" s="631" t="s">
        <v>11</v>
      </c>
      <c r="D348" s="631" t="s">
        <v>12</v>
      </c>
      <c r="E348" s="631" t="s">
        <v>13</v>
      </c>
      <c r="F348" s="370" t="s">
        <v>14</v>
      </c>
      <c r="G348" s="632" t="s">
        <v>15</v>
      </c>
      <c r="H348" s="372" t="s">
        <v>1090</v>
      </c>
      <c r="I348" s="372">
        <f>$C$10</f>
        <v>0.49</v>
      </c>
      <c r="J348" s="684">
        <f>$C$10</f>
        <v>0.49</v>
      </c>
      <c r="K348" s="941"/>
      <c r="L348" s="937"/>
      <c r="M348" s="869"/>
      <c r="N348" s="939"/>
      <c r="O348" s="870"/>
      <c r="P348" s="870"/>
      <c r="Q348" s="200" t="s">
        <v>1093</v>
      </c>
      <c r="R348" s="201" t="s">
        <v>1094</v>
      </c>
      <c r="S348" s="202" t="s">
        <v>1095</v>
      </c>
      <c r="T348" s="958" t="s">
        <v>1095</v>
      </c>
      <c r="U348" s="204" t="s">
        <v>1096</v>
      </c>
      <c r="V348" s="205" t="s">
        <v>1093</v>
      </c>
      <c r="W348" s="206" t="s">
        <v>1094</v>
      </c>
      <c r="X348" s="207" t="s">
        <v>1097</v>
      </c>
      <c r="Y348" s="208">
        <f>$X$33</f>
        <v>0.49</v>
      </c>
      <c r="Z348" s="207" t="s">
        <v>1098</v>
      </c>
      <c r="AA348" s="209" t="s">
        <v>1099</v>
      </c>
      <c r="AB348" s="209" t="s">
        <v>1100</v>
      </c>
      <c r="AC348" s="210" t="s">
        <v>1092</v>
      </c>
      <c r="AD348" s="211" t="s">
        <v>1101</v>
      </c>
      <c r="AE348" s="209" t="s">
        <v>1102</v>
      </c>
      <c r="AF348" s="208" t="s">
        <v>1103</v>
      </c>
      <c r="AG348" s="1867" t="s">
        <v>1104</v>
      </c>
      <c r="AH348" s="213" t="s">
        <v>1116</v>
      </c>
      <c r="AJ348" s="483" t="s">
        <v>1107</v>
      </c>
      <c r="AK348" s="484" t="s">
        <v>1108</v>
      </c>
      <c r="AL348" s="16"/>
      <c r="AM348" s="219" t="s">
        <v>1175</v>
      </c>
      <c r="AN348" s="219" t="s">
        <v>1176</v>
      </c>
      <c r="AO348" s="13"/>
      <c r="AP348" s="13"/>
    </row>
    <row r="349" spans="1:42">
      <c r="A349" s="187"/>
      <c r="B349" s="959" t="s">
        <v>832</v>
      </c>
      <c r="C349" s="960" t="s">
        <v>190</v>
      </c>
      <c r="D349" s="961">
        <v>1105</v>
      </c>
      <c r="E349" s="960">
        <v>1</v>
      </c>
      <c r="F349" s="377">
        <v>16</v>
      </c>
      <c r="G349" s="962">
        <v>1340</v>
      </c>
      <c r="H349" s="504">
        <f>G349*(1+$H$33)</f>
        <v>1433.8000000000002</v>
      </c>
      <c r="I349" s="504">
        <f>H349-H349*$J$340</f>
        <v>731.23800000000006</v>
      </c>
      <c r="J349" s="690">
        <f>G349-G349*$J$340</f>
        <v>683.4</v>
      </c>
      <c r="K349" s="963">
        <v>-0.15</v>
      </c>
      <c r="L349" s="937"/>
      <c r="M349" s="869"/>
      <c r="N349" s="939"/>
      <c r="O349" s="870"/>
      <c r="P349" s="870"/>
      <c r="Q349" s="326">
        <v>17.3</v>
      </c>
      <c r="R349" s="258">
        <f>Q349*$R$33</f>
        <v>813.67090000000007</v>
      </c>
      <c r="S349" s="259">
        <f>((J349-R349)/J349)*100%</f>
        <v>-0.19062174422007624</v>
      </c>
      <c r="T349" s="964">
        <f>((I349-R349)/I349)*100%</f>
        <v>-0.11273060207483748</v>
      </c>
      <c r="U349" s="238">
        <v>13.58315</v>
      </c>
      <c r="V349" s="239">
        <f>U349*$X$31</f>
        <v>16.299779999999998</v>
      </c>
      <c r="W349" s="239">
        <f>V349*$R$33</f>
        <v>766.62755273999994</v>
      </c>
      <c r="X349" s="240">
        <f>(ROUND(W349/(1-$AA$347),0))</f>
        <v>935</v>
      </c>
      <c r="Y349" s="239">
        <f>Z349*(1-$X$33)</f>
        <v>899.64</v>
      </c>
      <c r="Z349" s="240">
        <f>ROUND(X349/(1-$X$32),0)</f>
        <v>1764</v>
      </c>
      <c r="AA349" s="241">
        <f>((X349-W349)/X349)*100%</f>
        <v>0.18007748370053483</v>
      </c>
      <c r="AB349" s="241">
        <f>((Y349-W349)/Y349)*100%</f>
        <v>0.14785074836601311</v>
      </c>
      <c r="AC349" s="265"/>
      <c r="AD349" s="243"/>
      <c r="AE349" s="238">
        <f>N349/$R$33</f>
        <v>0</v>
      </c>
      <c r="AF349" s="239">
        <f>(V349/(1-$AA$347))</f>
        <v>19.877780487804873</v>
      </c>
      <c r="AG349" s="1868">
        <v>37.51</v>
      </c>
      <c r="AH349" s="244">
        <f>((AF349-V349)/AF349)*100%</f>
        <v>0.17999999999999988</v>
      </c>
      <c r="AJ349" s="498">
        <f>[1]Статистика!D400</f>
        <v>25</v>
      </c>
      <c r="AK349" s="76">
        <f>AJ349*Q349*S349</f>
        <v>-82.443904375182981</v>
      </c>
      <c r="AL349" s="16"/>
      <c r="AM349" s="499">
        <f>AJ349/$AJ$374</f>
        <v>0.30120481927710846</v>
      </c>
      <c r="AN349" s="499">
        <f>AK349/$AK$374</f>
        <v>0.49192991613384945</v>
      </c>
      <c r="AO349" s="13"/>
      <c r="AP349" s="13"/>
    </row>
    <row r="350" spans="1:42">
      <c r="A350" s="934"/>
      <c r="B350" s="934"/>
      <c r="C350" s="934"/>
      <c r="D350" s="934"/>
      <c r="E350" s="934"/>
      <c r="F350" s="934"/>
      <c r="G350" s="934"/>
      <c r="H350" s="530"/>
      <c r="I350" s="587"/>
      <c r="J350" s="828"/>
      <c r="K350" s="941"/>
      <c r="L350" s="937"/>
      <c r="M350" s="869"/>
      <c r="N350" s="939"/>
      <c r="O350" s="870"/>
      <c r="P350" s="870"/>
      <c r="Q350" s="786"/>
      <c r="R350" s="954"/>
      <c r="S350" s="364"/>
      <c r="T350" s="364"/>
      <c r="U350" s="872"/>
      <c r="V350" s="872"/>
      <c r="W350" s="872"/>
      <c r="X350" s="872"/>
      <c r="Y350" s="872"/>
      <c r="Z350" s="872"/>
      <c r="AA350" s="364"/>
      <c r="AB350" s="364"/>
      <c r="AC350" s="364"/>
      <c r="AD350" s="364"/>
      <c r="AE350" s="872"/>
      <c r="AF350" s="872"/>
      <c r="AG350" s="1882"/>
      <c r="AH350" s="364"/>
      <c r="AO350" s="13"/>
      <c r="AP350" s="13"/>
    </row>
    <row r="351" spans="1:42">
      <c r="A351" s="934"/>
      <c r="B351" s="934"/>
      <c r="C351" s="934"/>
      <c r="D351" s="934"/>
      <c r="E351" s="934"/>
      <c r="F351" s="934"/>
      <c r="G351" s="934"/>
      <c r="H351" s="530"/>
      <c r="I351" s="587"/>
      <c r="J351" s="828"/>
      <c r="K351" s="941"/>
      <c r="L351" s="937"/>
      <c r="M351" s="869"/>
      <c r="N351" s="939"/>
      <c r="O351" s="870"/>
      <c r="P351" s="870"/>
      <c r="Q351" s="786"/>
      <c r="R351" s="954"/>
      <c r="S351" s="364"/>
      <c r="T351" s="364"/>
      <c r="U351" s="872"/>
      <c r="V351" s="872"/>
      <c r="W351" s="872"/>
      <c r="X351" s="872"/>
      <c r="Y351" s="872"/>
      <c r="Z351" s="872"/>
      <c r="AA351" s="364"/>
      <c r="AB351" s="364"/>
      <c r="AC351" s="364"/>
      <c r="AD351" s="364"/>
      <c r="AE351" s="872"/>
      <c r="AF351" s="872"/>
      <c r="AG351" s="1882"/>
      <c r="AH351" s="364"/>
      <c r="AO351" s="13"/>
      <c r="AP351" s="13"/>
    </row>
    <row r="352" spans="1:42">
      <c r="A352" s="749" t="s">
        <v>5</v>
      </c>
      <c r="B352" s="187"/>
      <c r="C352" s="187"/>
      <c r="D352" s="187"/>
      <c r="E352" s="149"/>
      <c r="F352" s="934"/>
      <c r="G352" s="187"/>
      <c r="J352" s="828"/>
      <c r="K352" s="941"/>
      <c r="L352" s="937"/>
      <c r="M352" s="869"/>
      <c r="N352" s="939"/>
      <c r="O352" s="870"/>
      <c r="P352" s="870"/>
      <c r="Q352" s="786"/>
      <c r="R352" s="954"/>
      <c r="S352" s="364"/>
      <c r="T352" s="364"/>
      <c r="U352" s="872"/>
      <c r="V352" s="872"/>
      <c r="W352" s="872"/>
      <c r="X352" s="872"/>
      <c r="Y352" s="872"/>
      <c r="Z352" s="872"/>
      <c r="AA352" s="364"/>
      <c r="AB352" s="364"/>
      <c r="AC352" s="364"/>
      <c r="AD352" s="364"/>
      <c r="AE352" s="872"/>
      <c r="AF352" s="872"/>
      <c r="AG352" s="1882"/>
      <c r="AH352" s="364"/>
      <c r="AO352" s="13"/>
      <c r="AP352" s="13"/>
    </row>
    <row r="353" spans="1:42">
      <c r="A353" s="2348" t="s">
        <v>833</v>
      </c>
      <c r="B353" s="2348"/>
      <c r="C353" s="2348"/>
      <c r="D353" s="187"/>
      <c r="E353" s="149"/>
      <c r="F353" s="934"/>
      <c r="G353" s="187"/>
      <c r="J353" s="828"/>
      <c r="K353" s="941"/>
      <c r="L353" s="937"/>
      <c r="M353" s="869"/>
      <c r="N353" s="939"/>
      <c r="O353" s="870"/>
      <c r="P353" s="870"/>
      <c r="Q353" s="786"/>
      <c r="R353" s="954"/>
      <c r="S353" s="364"/>
      <c r="T353" s="364"/>
      <c r="U353" s="872"/>
      <c r="V353" s="872"/>
      <c r="W353" s="872"/>
      <c r="X353" s="872"/>
      <c r="Y353" s="872"/>
      <c r="Z353" s="872"/>
      <c r="AA353" s="364"/>
      <c r="AB353" s="364"/>
      <c r="AC353" s="364"/>
      <c r="AD353" s="364"/>
      <c r="AE353" s="872"/>
      <c r="AF353" s="872"/>
      <c r="AG353" s="1882"/>
      <c r="AH353" s="364"/>
      <c r="AO353" s="13"/>
      <c r="AP353" s="13"/>
    </row>
    <row r="354" spans="1:42">
      <c r="A354" s="2348" t="s">
        <v>834</v>
      </c>
      <c r="B354" s="2348"/>
      <c r="C354" s="2348"/>
      <c r="D354" s="2348"/>
      <c r="E354" s="2348"/>
      <c r="F354" s="625"/>
      <c r="G354" s="957"/>
      <c r="H354" s="681"/>
      <c r="J354" s="828"/>
      <c r="K354" s="941"/>
      <c r="L354" s="937"/>
      <c r="M354" s="869"/>
      <c r="N354" s="939"/>
      <c r="O354" s="870"/>
      <c r="P354" s="870"/>
      <c r="Q354" s="786"/>
      <c r="R354" s="954"/>
      <c r="S354" s="364"/>
      <c r="T354" s="364"/>
      <c r="U354" s="872"/>
      <c r="V354" s="872"/>
      <c r="W354" s="872"/>
      <c r="X354" s="872"/>
      <c r="Y354" s="872"/>
      <c r="Z354" s="872"/>
      <c r="AA354" s="364"/>
      <c r="AB354" s="364"/>
      <c r="AC354" s="364"/>
      <c r="AD354" s="364"/>
      <c r="AE354" s="872"/>
      <c r="AF354" s="872"/>
      <c r="AG354" s="1882"/>
      <c r="AH354" s="364"/>
      <c r="AO354" s="13"/>
      <c r="AP354" s="13"/>
    </row>
    <row r="355" spans="1:42">
      <c r="A355" s="187" t="s">
        <v>824</v>
      </c>
      <c r="B355" s="751"/>
      <c r="C355" s="187"/>
      <c r="D355" s="187"/>
      <c r="E355" s="149"/>
      <c r="F355" s="934"/>
      <c r="G355" s="187"/>
      <c r="J355" s="828"/>
      <c r="K355" s="941"/>
      <c r="L355" s="937"/>
      <c r="M355" s="869"/>
      <c r="N355" s="939"/>
      <c r="O355" s="870"/>
      <c r="P355" s="870"/>
      <c r="Q355" s="786"/>
      <c r="R355" s="954"/>
      <c r="S355" s="364"/>
      <c r="T355" s="364"/>
      <c r="U355" s="872"/>
      <c r="V355" s="872"/>
      <c r="W355" s="872"/>
      <c r="X355" s="872"/>
      <c r="Y355" s="872"/>
      <c r="Z355" s="872"/>
      <c r="AA355" s="364"/>
      <c r="AB355" s="364"/>
      <c r="AC355" s="364"/>
      <c r="AD355" s="364"/>
      <c r="AE355" s="872"/>
      <c r="AF355" s="872"/>
      <c r="AG355" s="1882"/>
      <c r="AH355" s="364"/>
      <c r="AO355" s="13"/>
      <c r="AP355" s="13"/>
    </row>
    <row r="356" spans="1:42">
      <c r="A356" s="187" t="s">
        <v>825</v>
      </c>
      <c r="B356" s="751"/>
      <c r="C356" s="187"/>
      <c r="D356" s="187"/>
      <c r="E356" s="149"/>
      <c r="F356" s="934"/>
      <c r="G356" s="187"/>
      <c r="J356" s="828"/>
      <c r="K356" s="941"/>
      <c r="L356" s="937"/>
      <c r="M356" s="869"/>
      <c r="N356" s="939"/>
      <c r="O356" s="870"/>
      <c r="P356" s="870"/>
      <c r="Q356" s="786"/>
      <c r="R356" s="954"/>
      <c r="S356" s="364"/>
      <c r="T356" s="364"/>
      <c r="U356" s="872"/>
      <c r="V356" s="872"/>
      <c r="W356" s="872"/>
      <c r="X356" s="872"/>
      <c r="Y356" s="872"/>
      <c r="Z356" s="872"/>
      <c r="AA356" s="364"/>
      <c r="AB356" s="364"/>
      <c r="AC356" s="364"/>
      <c r="AD356" s="364"/>
      <c r="AE356" s="872"/>
      <c r="AF356" s="872"/>
      <c r="AG356" s="1882"/>
      <c r="AH356" s="364"/>
      <c r="AO356" s="13"/>
      <c r="AP356" s="13"/>
    </row>
    <row r="357" spans="1:42">
      <c r="A357" s="187"/>
      <c r="B357" s="187"/>
      <c r="C357" s="187"/>
      <c r="D357" s="187"/>
      <c r="E357" s="187"/>
      <c r="F357" s="934"/>
      <c r="G357" s="187"/>
      <c r="J357" s="828"/>
      <c r="K357" s="941"/>
      <c r="L357" s="937"/>
      <c r="M357" s="869"/>
      <c r="N357" s="939"/>
      <c r="O357" s="870"/>
      <c r="P357" s="870"/>
      <c r="Q357" s="786"/>
      <c r="R357" s="954"/>
      <c r="S357" s="364"/>
      <c r="T357" s="364"/>
      <c r="U357" s="872"/>
      <c r="V357" s="872"/>
      <c r="W357" s="872"/>
      <c r="X357" s="872"/>
      <c r="Y357" s="872"/>
      <c r="Z357" s="872"/>
      <c r="AA357" s="364"/>
      <c r="AB357" s="364"/>
      <c r="AC357" s="364"/>
      <c r="AD357" s="364"/>
      <c r="AE357" s="872"/>
      <c r="AF357" s="872"/>
      <c r="AG357" s="1882"/>
      <c r="AH357" s="364"/>
      <c r="AO357" s="13"/>
      <c r="AP357" s="13"/>
    </row>
    <row r="358" spans="1:42">
      <c r="A358" s="149" t="s">
        <v>835</v>
      </c>
      <c r="B358" s="681" t="s">
        <v>840</v>
      </c>
      <c r="C358" s="681"/>
      <c r="D358" s="681"/>
      <c r="E358" s="681"/>
      <c r="F358" s="681"/>
      <c r="G358" s="681"/>
      <c r="H358" s="681"/>
      <c r="J358" s="828"/>
      <c r="K358" s="941"/>
      <c r="L358" s="937"/>
      <c r="M358" s="869"/>
      <c r="N358" s="939"/>
      <c r="O358" s="870"/>
      <c r="P358" s="870"/>
      <c r="Q358" s="786"/>
      <c r="R358" s="954"/>
      <c r="S358" s="364"/>
      <c r="T358" s="364"/>
      <c r="U358" s="872"/>
      <c r="V358" s="872"/>
      <c r="W358" s="872"/>
      <c r="X358" s="872"/>
      <c r="Y358" s="872"/>
      <c r="Z358" s="872"/>
      <c r="AA358" s="364"/>
      <c r="AB358" s="364"/>
      <c r="AC358" s="364"/>
      <c r="AD358" s="364"/>
      <c r="AE358" s="872"/>
      <c r="AF358" s="872"/>
      <c r="AG358" s="1882"/>
      <c r="AH358" s="364"/>
      <c r="AO358" s="13"/>
      <c r="AP358" s="13"/>
    </row>
    <row r="359" spans="1:42">
      <c r="A359" s="149"/>
      <c r="B359" s="1842"/>
      <c r="C359" s="681" t="s">
        <v>841</v>
      </c>
      <c r="D359" s="681"/>
      <c r="E359" s="681"/>
      <c r="F359" s="681"/>
      <c r="G359" s="681"/>
      <c r="H359" s="681"/>
      <c r="J359" s="828"/>
      <c r="K359" s="941"/>
      <c r="L359" s="937"/>
      <c r="M359" s="869"/>
      <c r="N359" s="939"/>
      <c r="O359" s="870"/>
      <c r="P359" s="870"/>
      <c r="Q359" s="786"/>
      <c r="R359" s="954"/>
      <c r="S359" s="364"/>
      <c r="T359" s="364"/>
      <c r="U359" s="872"/>
      <c r="V359" s="872"/>
      <c r="W359" s="872"/>
      <c r="X359" s="872"/>
      <c r="Y359" s="872"/>
      <c r="Z359" s="872"/>
      <c r="AA359" s="364"/>
      <c r="AB359" s="364"/>
      <c r="AC359" s="364"/>
      <c r="AD359" s="364"/>
      <c r="AE359" s="872"/>
      <c r="AF359" s="872"/>
      <c r="AG359" s="1882"/>
      <c r="AH359" s="364"/>
      <c r="AO359" s="13"/>
      <c r="AP359" s="13"/>
    </row>
    <row r="360" spans="1:42" ht="15.75" thickBot="1">
      <c r="A360" s="187"/>
      <c r="B360" s="149"/>
      <c r="C360" s="187" t="s">
        <v>828</v>
      </c>
      <c r="D360" s="187"/>
      <c r="E360" s="187"/>
      <c r="F360" s="934"/>
      <c r="G360" s="187"/>
      <c r="J360" s="828"/>
      <c r="K360" s="941"/>
      <c r="L360" s="937"/>
      <c r="M360" s="869"/>
      <c r="N360" s="939"/>
      <c r="O360" s="870"/>
      <c r="P360" s="870"/>
      <c r="Q360" s="786"/>
      <c r="R360" s="954"/>
      <c r="S360" s="364"/>
      <c r="T360" s="364"/>
      <c r="U360" s="872"/>
      <c r="V360" s="872"/>
      <c r="W360" s="872"/>
      <c r="X360" s="872"/>
      <c r="Y360" s="872"/>
      <c r="Z360" s="872"/>
      <c r="AA360" s="364">
        <v>0.22</v>
      </c>
      <c r="AB360" s="364"/>
      <c r="AC360" s="364"/>
      <c r="AD360" s="364"/>
      <c r="AE360" s="872"/>
      <c r="AF360" s="872"/>
      <c r="AG360" s="1882"/>
      <c r="AH360" s="364"/>
      <c r="AO360" s="13"/>
      <c r="AP360" s="13"/>
    </row>
    <row r="361" spans="1:42" ht="36.75" thickBot="1">
      <c r="A361" s="187"/>
      <c r="B361" s="629" t="s">
        <v>10</v>
      </c>
      <c r="C361" s="631" t="s">
        <v>11</v>
      </c>
      <c r="D361" s="631" t="s">
        <v>12</v>
      </c>
      <c r="E361" s="631" t="s">
        <v>13</v>
      </c>
      <c r="F361" s="370" t="s">
        <v>14</v>
      </c>
      <c r="G361" s="632" t="s">
        <v>15</v>
      </c>
      <c r="H361" s="372" t="s">
        <v>1090</v>
      </c>
      <c r="I361" s="372">
        <f>$C$10</f>
        <v>0.49</v>
      </c>
      <c r="J361" s="684">
        <f>$C$10</f>
        <v>0.49</v>
      </c>
      <c r="K361" s="941"/>
      <c r="L361" s="937"/>
      <c r="M361" s="869"/>
      <c r="N361" s="939"/>
      <c r="O361" s="870"/>
      <c r="P361" s="870"/>
      <c r="Q361" s="200" t="s">
        <v>1093</v>
      </c>
      <c r="R361" s="201" t="s">
        <v>1094</v>
      </c>
      <c r="S361" s="202" t="s">
        <v>1095</v>
      </c>
      <c r="T361" s="958" t="s">
        <v>1095</v>
      </c>
      <c r="U361" s="204" t="s">
        <v>1096</v>
      </c>
      <c r="V361" s="205" t="s">
        <v>1093</v>
      </c>
      <c r="W361" s="206" t="s">
        <v>1094</v>
      </c>
      <c r="X361" s="207" t="s">
        <v>1097</v>
      </c>
      <c r="Y361" s="208">
        <f>$X$33</f>
        <v>0.49</v>
      </c>
      <c r="Z361" s="207" t="s">
        <v>1098</v>
      </c>
      <c r="AA361" s="209" t="s">
        <v>1099</v>
      </c>
      <c r="AB361" s="209" t="s">
        <v>1100</v>
      </c>
      <c r="AC361" s="210" t="s">
        <v>1092</v>
      </c>
      <c r="AD361" s="211" t="s">
        <v>1101</v>
      </c>
      <c r="AE361" s="209" t="s">
        <v>1102</v>
      </c>
      <c r="AF361" s="208" t="s">
        <v>1103</v>
      </c>
      <c r="AG361" s="1867" t="s">
        <v>1104</v>
      </c>
      <c r="AH361" s="213" t="s">
        <v>1116</v>
      </c>
      <c r="AJ361" s="483" t="s">
        <v>1107</v>
      </c>
      <c r="AK361" s="484" t="s">
        <v>1108</v>
      </c>
      <c r="AL361" s="16"/>
      <c r="AM361" s="219" t="s">
        <v>1175</v>
      </c>
      <c r="AN361" s="219" t="s">
        <v>1176</v>
      </c>
      <c r="AO361" s="13"/>
      <c r="AP361" s="13"/>
    </row>
    <row r="362" spans="1:42">
      <c r="A362" s="187"/>
      <c r="B362" s="959" t="s">
        <v>836</v>
      </c>
      <c r="C362" s="960" t="s">
        <v>190</v>
      </c>
      <c r="D362" s="961">
        <v>750</v>
      </c>
      <c r="E362" s="960">
        <v>1</v>
      </c>
      <c r="F362" s="377">
        <v>14</v>
      </c>
      <c r="G362" s="962">
        <v>1170</v>
      </c>
      <c r="H362" s="504">
        <f>G362*(1+$H$33)</f>
        <v>1251.9000000000001</v>
      </c>
      <c r="I362" s="504">
        <f>H362-H362*$J$340</f>
        <v>638.46900000000005</v>
      </c>
      <c r="J362" s="690">
        <f>G362-G362*$J$340</f>
        <v>596.70000000000005</v>
      </c>
      <c r="K362" s="963">
        <v>-0.22</v>
      </c>
      <c r="L362" s="937"/>
      <c r="M362" s="869"/>
      <c r="N362" s="939"/>
      <c r="O362" s="870"/>
      <c r="P362" s="870"/>
      <c r="Q362" s="965">
        <v>14.17</v>
      </c>
      <c r="R362" s="966">
        <f>Q362*$R$33</f>
        <v>666.45761000000005</v>
      </c>
      <c r="S362" s="967">
        <f>((J362-R362)/J362)*100%</f>
        <v>-0.11690566448801742</v>
      </c>
      <c r="T362" s="696">
        <f>((I362-R362)/I362)*100%</f>
        <v>-4.3837069614969547E-2</v>
      </c>
      <c r="U362" s="238">
        <v>11.12262</v>
      </c>
      <c r="V362" s="239">
        <f>U362*$X$31</f>
        <v>13.347143999999998</v>
      </c>
      <c r="W362" s="239">
        <f>V362*$R$33</f>
        <v>627.75622375199998</v>
      </c>
      <c r="X362" s="240">
        <f>(ROUND(W362/(1-$AA$360),0))</f>
        <v>805</v>
      </c>
      <c r="Y362" s="239">
        <f>Z362*(1-$X$33)</f>
        <v>774.69</v>
      </c>
      <c r="Z362" s="240">
        <f>ROUND(X362/(1-$X$32),0)</f>
        <v>1519</v>
      </c>
      <c r="AA362" s="241">
        <f>((X362-W362)/X362)*100%</f>
        <v>0.22017860403478262</v>
      </c>
      <c r="AB362" s="241">
        <f>((Y362-W362)/Y362)*100%</f>
        <v>0.1896678364868529</v>
      </c>
      <c r="AC362" s="265"/>
      <c r="AD362" s="243"/>
      <c r="AE362" s="238">
        <f>N362/$R$33</f>
        <v>0</v>
      </c>
      <c r="AF362" s="239">
        <f>(V362/(1-$AA$360))</f>
        <v>17.111723076923074</v>
      </c>
      <c r="AG362" s="1868">
        <v>32.29</v>
      </c>
      <c r="AH362" s="244">
        <f>((AF362-V362)/AF362)*100%</f>
        <v>0.21999999999999995</v>
      </c>
      <c r="AI362" s="968"/>
      <c r="AJ362" s="86">
        <f>[1]Статистика!D399</f>
        <v>30</v>
      </c>
      <c r="AK362" s="90">
        <f>AJ362*Q362*S362</f>
        <v>-49.696597973856207</v>
      </c>
      <c r="AL362" s="969"/>
      <c r="AM362" s="499">
        <f>AJ362/$AJ$374</f>
        <v>0.36144578313253012</v>
      </c>
      <c r="AN362" s="499">
        <f>AK362/$AK$374</f>
        <v>0.29653184742637873</v>
      </c>
      <c r="AO362" s="13"/>
      <c r="AP362" s="13"/>
    </row>
    <row r="363" spans="1:42">
      <c r="A363" s="187"/>
      <c r="B363" s="813"/>
      <c r="C363" s="797"/>
      <c r="D363" s="796"/>
      <c r="E363" s="797"/>
      <c r="F363" s="414"/>
      <c r="G363" s="784"/>
      <c r="H363" s="785"/>
      <c r="I363" s="785"/>
      <c r="J363" s="828"/>
      <c r="K363" s="941"/>
      <c r="L363" s="937"/>
      <c r="M363" s="869"/>
      <c r="N363" s="939"/>
      <c r="O363" s="870"/>
      <c r="P363" s="870"/>
      <c r="Q363" s="786"/>
      <c r="R363" s="954"/>
      <c r="S363" s="364"/>
      <c r="T363" s="364"/>
      <c r="U363" s="872"/>
      <c r="V363" s="872"/>
      <c r="W363" s="872"/>
      <c r="X363" s="872"/>
      <c r="Y363" s="872"/>
      <c r="Z363" s="872"/>
      <c r="AA363" s="364"/>
      <c r="AB363" s="364"/>
      <c r="AC363" s="364"/>
      <c r="AD363" s="364"/>
      <c r="AE363" s="872"/>
      <c r="AF363" s="872"/>
      <c r="AG363" s="1882"/>
      <c r="AH363" s="364"/>
      <c r="AO363" s="13"/>
      <c r="AP363" s="13"/>
    </row>
    <row r="364" spans="1:42">
      <c r="A364" s="934"/>
      <c r="B364" s="934"/>
      <c r="C364" s="934"/>
      <c r="D364" s="934"/>
      <c r="E364" s="934"/>
      <c r="F364" s="934"/>
      <c r="G364" s="934"/>
      <c r="H364" s="530"/>
      <c r="I364" s="587"/>
      <c r="J364" s="828"/>
      <c r="K364" s="941"/>
      <c r="L364" s="937"/>
      <c r="M364" s="869"/>
      <c r="N364" s="939"/>
      <c r="O364" s="870"/>
      <c r="P364" s="870"/>
      <c r="Q364" s="786"/>
      <c r="R364" s="954"/>
      <c r="S364" s="364"/>
      <c r="T364" s="364"/>
      <c r="U364" s="872"/>
      <c r="V364" s="872"/>
      <c r="W364" s="872"/>
      <c r="X364" s="872"/>
      <c r="Y364" s="872"/>
      <c r="Z364" s="872"/>
      <c r="AA364" s="364"/>
      <c r="AB364" s="364"/>
      <c r="AC364" s="364"/>
      <c r="AD364" s="364"/>
      <c r="AE364" s="872"/>
      <c r="AF364" s="872"/>
      <c r="AG364" s="1882"/>
      <c r="AH364" s="364"/>
      <c r="AO364" s="13"/>
      <c r="AP364" s="13"/>
    </row>
    <row r="365" spans="1:42">
      <c r="A365" s="934"/>
      <c r="B365" s="934"/>
      <c r="C365" s="934"/>
      <c r="D365" s="934"/>
      <c r="E365" s="934"/>
      <c r="F365" s="934"/>
      <c r="G365" s="934"/>
      <c r="H365" s="530"/>
      <c r="I365" s="587"/>
      <c r="J365" s="828"/>
      <c r="K365" s="941"/>
      <c r="L365" s="937"/>
      <c r="M365" s="869"/>
      <c r="N365" s="939"/>
      <c r="O365" s="870"/>
      <c r="P365" s="870"/>
      <c r="Q365" s="786"/>
      <c r="R365" s="954"/>
      <c r="S365" s="364"/>
      <c r="T365" s="364"/>
      <c r="U365" s="872"/>
      <c r="V365" s="872"/>
      <c r="W365" s="872"/>
      <c r="X365" s="872"/>
      <c r="Y365" s="872"/>
      <c r="Z365" s="872"/>
      <c r="AA365" s="364"/>
      <c r="AB365" s="364"/>
      <c r="AC365" s="364"/>
      <c r="AD365" s="364"/>
      <c r="AE365" s="872"/>
      <c r="AF365" s="872"/>
      <c r="AG365" s="1882"/>
      <c r="AH365" s="364"/>
      <c r="AO365" s="13"/>
      <c r="AP365" s="13"/>
    </row>
    <row r="366" spans="1:42">
      <c r="A366" s="934"/>
      <c r="B366" s="934"/>
      <c r="C366" s="934"/>
      <c r="D366" s="934"/>
      <c r="E366" s="934"/>
      <c r="F366" s="934"/>
      <c r="G366" s="934"/>
      <c r="H366" s="530"/>
      <c r="I366" s="587"/>
      <c r="J366" s="828"/>
      <c r="K366" s="941"/>
      <c r="L366" s="937"/>
      <c r="M366" s="869"/>
      <c r="N366" s="939"/>
      <c r="O366" s="870"/>
      <c r="P366" s="870"/>
      <c r="Q366" s="786"/>
      <c r="R366" s="954"/>
      <c r="S366" s="364"/>
      <c r="T366" s="364"/>
      <c r="U366" s="872"/>
      <c r="V366" s="872"/>
      <c r="W366" s="872"/>
      <c r="X366" s="872"/>
      <c r="Y366" s="872"/>
      <c r="Z366" s="872"/>
      <c r="AA366" s="364"/>
      <c r="AB366" s="364"/>
      <c r="AC366" s="364"/>
      <c r="AD366" s="364"/>
      <c r="AE366" s="872"/>
      <c r="AF366" s="872"/>
      <c r="AG366" s="1882"/>
      <c r="AH366" s="364"/>
      <c r="AO366" s="13"/>
      <c r="AP366" s="13"/>
    </row>
    <row r="367" spans="1:42">
      <c r="A367" s="149" t="s">
        <v>837</v>
      </c>
      <c r="B367" s="681" t="s">
        <v>838</v>
      </c>
      <c r="C367" s="681"/>
      <c r="D367" s="681"/>
      <c r="E367" s="681"/>
      <c r="F367" s="681"/>
      <c r="G367" s="681"/>
      <c r="H367" s="681"/>
      <c r="J367" s="828"/>
      <c r="K367" s="941"/>
      <c r="L367" s="937"/>
      <c r="M367" s="869"/>
      <c r="N367" s="939"/>
      <c r="O367" s="870"/>
      <c r="P367" s="870"/>
      <c r="Q367" s="786"/>
      <c r="R367" s="954"/>
      <c r="S367" s="364"/>
      <c r="T367" s="364"/>
      <c r="U367" s="872"/>
      <c r="V367" s="872"/>
      <c r="W367" s="872"/>
      <c r="X367" s="872"/>
      <c r="Y367" s="872"/>
      <c r="Z367" s="872"/>
      <c r="AA367" s="364"/>
      <c r="AB367" s="364"/>
      <c r="AC367" s="364"/>
      <c r="AD367" s="364"/>
      <c r="AE367" s="872"/>
      <c r="AF367" s="872"/>
      <c r="AG367" s="1882"/>
      <c r="AH367" s="364"/>
      <c r="AO367" s="13"/>
      <c r="AP367" s="13"/>
    </row>
    <row r="368" spans="1:42" ht="15.75" thickBot="1">
      <c r="A368" s="187"/>
      <c r="B368" s="149"/>
      <c r="C368" s="187" t="s">
        <v>828</v>
      </c>
      <c r="D368" s="187"/>
      <c r="E368" s="187"/>
      <c r="F368" s="934"/>
      <c r="G368" s="187"/>
      <c r="J368" s="828"/>
      <c r="K368" s="941"/>
      <c r="L368" s="937"/>
      <c r="M368" s="869"/>
      <c r="N368" s="939"/>
      <c r="O368" s="870"/>
      <c r="P368" s="870"/>
      <c r="Q368" s="786"/>
      <c r="R368" s="954"/>
      <c r="S368" s="364"/>
      <c r="T368" s="364"/>
      <c r="U368" s="872"/>
      <c r="V368" s="872"/>
      <c r="W368" s="872"/>
      <c r="X368" s="872"/>
      <c r="Y368" s="872"/>
      <c r="Z368" s="872"/>
      <c r="AA368" s="364">
        <v>0.22</v>
      </c>
      <c r="AB368" s="364"/>
      <c r="AC368" s="364"/>
      <c r="AD368" s="364"/>
      <c r="AE368" s="872"/>
      <c r="AF368" s="872"/>
      <c r="AG368" s="1882"/>
      <c r="AH368" s="364"/>
      <c r="AO368" s="13"/>
      <c r="AP368" s="13"/>
    </row>
    <row r="369" spans="1:42" ht="36.75" thickBot="1">
      <c r="A369" s="187"/>
      <c r="B369" s="629" t="s">
        <v>10</v>
      </c>
      <c r="C369" s="631" t="s">
        <v>11</v>
      </c>
      <c r="D369" s="631" t="s">
        <v>12</v>
      </c>
      <c r="E369" s="631" t="s">
        <v>13</v>
      </c>
      <c r="F369" s="370" t="s">
        <v>14</v>
      </c>
      <c r="G369" s="632" t="s">
        <v>15</v>
      </c>
      <c r="H369" s="372" t="s">
        <v>1090</v>
      </c>
      <c r="I369" s="372">
        <f>$C$10</f>
        <v>0.49</v>
      </c>
      <c r="J369" s="684">
        <f>$C$10</f>
        <v>0.49</v>
      </c>
      <c r="K369" s="941"/>
      <c r="L369" s="937"/>
      <c r="M369" s="869"/>
      <c r="N369" s="939"/>
      <c r="O369" s="870"/>
      <c r="P369" s="870"/>
      <c r="Q369" s="200" t="s">
        <v>1093</v>
      </c>
      <c r="R369" s="201" t="s">
        <v>1094</v>
      </c>
      <c r="S369" s="202" t="s">
        <v>1095</v>
      </c>
      <c r="T369" s="958" t="s">
        <v>1095</v>
      </c>
      <c r="U369" s="204" t="s">
        <v>1096</v>
      </c>
      <c r="V369" s="205" t="s">
        <v>1093</v>
      </c>
      <c r="W369" s="206" t="s">
        <v>1094</v>
      </c>
      <c r="X369" s="207" t="s">
        <v>1097</v>
      </c>
      <c r="Y369" s="208">
        <f>$X$33</f>
        <v>0.49</v>
      </c>
      <c r="Z369" s="207" t="s">
        <v>1098</v>
      </c>
      <c r="AA369" s="209" t="s">
        <v>1099</v>
      </c>
      <c r="AB369" s="209" t="s">
        <v>1100</v>
      </c>
      <c r="AC369" s="210" t="s">
        <v>1092</v>
      </c>
      <c r="AD369" s="211" t="s">
        <v>1101</v>
      </c>
      <c r="AE369" s="209" t="s">
        <v>1102</v>
      </c>
      <c r="AF369" s="208" t="s">
        <v>1103</v>
      </c>
      <c r="AG369" s="1867" t="s">
        <v>1104</v>
      </c>
      <c r="AH369" s="213" t="s">
        <v>1116</v>
      </c>
      <c r="AJ369" s="483" t="s">
        <v>1107</v>
      </c>
      <c r="AK369" s="484" t="s">
        <v>1108</v>
      </c>
      <c r="AL369" s="16"/>
      <c r="AM369" s="219" t="s">
        <v>1175</v>
      </c>
      <c r="AN369" s="219" t="s">
        <v>1176</v>
      </c>
      <c r="AO369" s="13"/>
      <c r="AP369" s="13"/>
    </row>
    <row r="370" spans="1:42">
      <c r="A370" s="187"/>
      <c r="B370" s="959" t="s">
        <v>839</v>
      </c>
      <c r="C370" s="960" t="s">
        <v>190</v>
      </c>
      <c r="D370" s="961">
        <v>670</v>
      </c>
      <c r="E370" s="960">
        <v>1</v>
      </c>
      <c r="F370" s="377">
        <v>16</v>
      </c>
      <c r="G370" s="962">
        <v>1050</v>
      </c>
      <c r="H370" s="504">
        <f>G370*(1+$H$33)</f>
        <v>1123.5</v>
      </c>
      <c r="I370" s="504">
        <f>H370-H370*$J$340</f>
        <v>572.98500000000001</v>
      </c>
      <c r="J370" s="690">
        <f>G370-G370*$J$340</f>
        <v>535.5</v>
      </c>
      <c r="K370" s="963">
        <v>-0.25</v>
      </c>
      <c r="L370" s="937"/>
      <c r="M370" s="869"/>
      <c r="N370" s="939"/>
      <c r="O370" s="870"/>
      <c r="P370" s="870"/>
      <c r="Q370" s="326">
        <v>11.78</v>
      </c>
      <c r="R370" s="258">
        <f>Q370*$R$33</f>
        <v>554.04873999999995</v>
      </c>
      <c r="S370" s="259">
        <f>((J370-R370)/J370)*100%</f>
        <v>-3.4638169934640431E-2</v>
      </c>
      <c r="T370" s="696">
        <f>((I370-R370)/I370)*100%</f>
        <v>3.3048439313420178E-2</v>
      </c>
      <c r="U370" s="238">
        <v>9.7613500000000002</v>
      </c>
      <c r="V370" s="239">
        <f>U370*$X$31</f>
        <v>11.713620000000001</v>
      </c>
      <c r="W370" s="239">
        <f>V370*$R$33</f>
        <v>550.92668946000003</v>
      </c>
      <c r="X370" s="240">
        <f>(ROUND(W370/(1-$AA$368),0))</f>
        <v>706</v>
      </c>
      <c r="Y370" s="239">
        <f>Z370*(1-$X$33)</f>
        <v>679.32</v>
      </c>
      <c r="Z370" s="240">
        <f>ROUND(X370/(1-$X$32),0)</f>
        <v>1332</v>
      </c>
      <c r="AA370" s="241">
        <f>((X370-W370)/X370)*100%</f>
        <v>0.21965058150141639</v>
      </c>
      <c r="AB370" s="241">
        <f>((Y370-W370)/Y370)*100%</f>
        <v>0.18900269466525349</v>
      </c>
      <c r="AC370" s="265"/>
      <c r="AD370" s="243"/>
      <c r="AE370" s="238">
        <f>N370/$R$33</f>
        <v>0</v>
      </c>
      <c r="AF370" s="239">
        <f>(V370/(1-$AA$368))</f>
        <v>15.017461538461539</v>
      </c>
      <c r="AG370" s="1868">
        <v>28.34</v>
      </c>
      <c r="AH370" s="244">
        <f>((AF370-V370)/AF370)*100%</f>
        <v>0.22</v>
      </c>
      <c r="AJ370" s="498">
        <f>[1]Статистика!D401</f>
        <v>20</v>
      </c>
      <c r="AK370" s="76">
        <f>AJ370*Q370*S370</f>
        <v>-8.1607528366012847</v>
      </c>
      <c r="AL370" s="16"/>
      <c r="AM370" s="499">
        <f>AJ370/$AJ$374</f>
        <v>0.24096385542168675</v>
      </c>
      <c r="AN370" s="499">
        <f>AK370/$AK$374</f>
        <v>4.8693939096202996E-2</v>
      </c>
      <c r="AO370" s="13"/>
      <c r="AP370" s="13"/>
    </row>
    <row r="371" spans="1:42" ht="15.75" thickBot="1">
      <c r="A371" s="934"/>
      <c r="B371" s="934"/>
      <c r="C371" s="934"/>
      <c r="D371" s="934"/>
      <c r="E371" s="934"/>
      <c r="F371" s="934"/>
      <c r="G371" s="934"/>
      <c r="H371" s="530"/>
      <c r="I371" s="587"/>
      <c r="J371" s="828"/>
      <c r="K371" s="941"/>
      <c r="L371" s="937"/>
      <c r="M371" s="869"/>
      <c r="N371" s="939"/>
      <c r="O371" s="870"/>
      <c r="P371" s="870"/>
      <c r="Q371" s="786"/>
      <c r="R371" s="954"/>
      <c r="S371" s="364"/>
      <c r="T371" s="364"/>
      <c r="U371" s="872"/>
      <c r="V371" s="872"/>
      <c r="W371" s="872"/>
      <c r="X371" s="872"/>
      <c r="Y371" s="872"/>
      <c r="Z371" s="872"/>
      <c r="AA371" s="364"/>
      <c r="AB371" s="364"/>
      <c r="AC371" s="364"/>
      <c r="AD371" s="364"/>
      <c r="AE371" s="872"/>
      <c r="AF371" s="872"/>
      <c r="AG371" s="1882"/>
      <c r="AH371" s="364"/>
      <c r="AO371" s="13"/>
      <c r="AP371" s="13"/>
    </row>
    <row r="372" spans="1:42" ht="15.75" thickBot="1">
      <c r="A372" s="934"/>
      <c r="B372" s="934"/>
      <c r="C372" s="934"/>
      <c r="D372" s="934"/>
      <c r="E372" s="934"/>
      <c r="F372" s="934"/>
      <c r="G372" s="934"/>
      <c r="H372" s="530"/>
      <c r="I372" s="587"/>
      <c r="J372" s="828"/>
      <c r="K372" s="941"/>
      <c r="L372" s="937"/>
      <c r="M372" s="869"/>
      <c r="N372" s="939"/>
      <c r="O372" s="870"/>
      <c r="P372" s="870"/>
      <c r="Q372" s="950" t="s">
        <v>1133</v>
      </c>
      <c r="R372" s="970">
        <f>AVERAGE(S341,S349,S362,S370)</f>
        <v>-0.13279127211166392</v>
      </c>
      <c r="S372" s="736">
        <f>AVERAGE(T341,T349,T362,T370)</f>
        <v>-5.8683431880059686E-2</v>
      </c>
      <c r="T372" s="364"/>
      <c r="U372" s="2331" t="s">
        <v>1236</v>
      </c>
      <c r="V372" s="2331"/>
      <c r="W372" s="2331"/>
      <c r="X372" s="2331"/>
      <c r="Y372" s="2331"/>
      <c r="Z372" s="2331"/>
      <c r="AA372" s="952">
        <f>AVERAGE(AA341,AA349,AA362,AA370)</f>
        <v>0.19992005479897937</v>
      </c>
      <c r="AB372" s="952">
        <f>AVERAGE(AB341,AB349,AB362,AB370)</f>
        <v>0.16858610199923668</v>
      </c>
      <c r="AC372" s="952"/>
      <c r="AD372" s="952"/>
      <c r="AE372" s="953"/>
      <c r="AF372" s="953"/>
      <c r="AG372" s="1884"/>
      <c r="AH372" s="952">
        <f>AVERAGE(AH341,AH349,AH362,AH370)</f>
        <v>0.19999999999999993</v>
      </c>
      <c r="AO372" s="13"/>
      <c r="AP372" s="13"/>
    </row>
    <row r="373" spans="1:42" ht="15.75" thickBot="1">
      <c r="A373" s="934"/>
      <c r="B373" s="813"/>
      <c r="C373" s="783"/>
      <c r="D373" s="796"/>
      <c r="E373" s="797"/>
      <c r="F373" s="414"/>
      <c r="G373" s="814"/>
      <c r="H373" s="416"/>
      <c r="I373" s="416"/>
      <c r="J373" s="828"/>
      <c r="K373" s="941"/>
      <c r="L373" s="937"/>
      <c r="M373" s="869"/>
      <c r="N373" s="939"/>
      <c r="O373" s="870"/>
      <c r="P373" s="870"/>
      <c r="Q373" s="786"/>
      <c r="R373" s="954"/>
      <c r="S373" s="364"/>
      <c r="T373" s="364"/>
      <c r="U373" s="872"/>
      <c r="V373" s="872"/>
      <c r="W373" s="872"/>
      <c r="X373" s="872"/>
      <c r="Y373" s="872"/>
      <c r="Z373" s="872"/>
      <c r="AA373" s="364"/>
      <c r="AB373" s="364"/>
      <c r="AC373" s="364"/>
      <c r="AD373" s="364"/>
      <c r="AE373" s="872"/>
      <c r="AF373" s="872"/>
      <c r="AG373" s="1882"/>
      <c r="AH373" s="364"/>
      <c r="AI373" s="2335" t="s">
        <v>1237</v>
      </c>
      <c r="AJ373" s="2336"/>
      <c r="AK373" s="2336"/>
      <c r="AL373" s="2336"/>
      <c r="AM373" s="2336"/>
      <c r="AN373" s="2337"/>
      <c r="AO373" s="13"/>
      <c r="AP373" s="13"/>
    </row>
    <row r="374" spans="1:42" ht="18.75">
      <c r="A374" s="934"/>
      <c r="B374" s="2"/>
      <c r="C374" s="413"/>
      <c r="D374" s="414"/>
      <c r="E374" s="413"/>
      <c r="F374" s="414"/>
      <c r="G374" s="827"/>
      <c r="H374" s="785"/>
      <c r="I374" s="785"/>
      <c r="J374" s="828"/>
      <c r="K374" s="941"/>
      <c r="L374" s="937"/>
      <c r="M374" s="869"/>
      <c r="N374" s="939"/>
      <c r="O374" s="870"/>
      <c r="P374" s="870"/>
      <c r="Q374" s="786"/>
      <c r="R374" s="954"/>
      <c r="S374" s="364"/>
      <c r="T374" s="364"/>
      <c r="U374" s="872"/>
      <c r="V374" s="872"/>
      <c r="W374" s="872"/>
      <c r="X374" s="872"/>
      <c r="Y374" s="872"/>
      <c r="Z374" s="872"/>
      <c r="AA374" s="364"/>
      <c r="AB374" s="364"/>
      <c r="AC374" s="364"/>
      <c r="AD374" s="364"/>
      <c r="AE374" s="872"/>
      <c r="AF374" s="872"/>
      <c r="AG374" s="1882"/>
      <c r="AH374" s="364"/>
      <c r="AI374" s="838">
        <f>AVERAGE(S341,S349,S362,S370)</f>
        <v>-0.13279127211166392</v>
      </c>
      <c r="AJ374" s="839">
        <f>SUM(AJ341,AJ349,AJ362,AJ370,AJ372)</f>
        <v>83</v>
      </c>
      <c r="AK374" s="840">
        <f>SUM(AK341,AK349,AK362,AK370,AK372)</f>
        <v>-167.59278440132675</v>
      </c>
      <c r="AL374" s="841"/>
      <c r="AM374" s="842">
        <f>SUM(AM341,AM349,AM362,AM370,AM372)</f>
        <v>1</v>
      </c>
      <c r="AN374" s="842">
        <f>SUM(AN341,AN349,AN362,AN370,AN372)</f>
        <v>1</v>
      </c>
      <c r="AO374" s="13"/>
      <c r="AP374" s="13"/>
    </row>
    <row r="375" spans="1:42" ht="18.75">
      <c r="A375" s="834" t="s">
        <v>175</v>
      </c>
      <c r="G375" s="2341" t="s">
        <v>1238</v>
      </c>
      <c r="H375" s="2341"/>
      <c r="I375" s="2341"/>
      <c r="J375" s="2341"/>
      <c r="K375" s="2341"/>
      <c r="L375" s="2341"/>
      <c r="M375" s="2341"/>
      <c r="N375" s="2341"/>
      <c r="AO375" s="13"/>
      <c r="AP375" s="13"/>
    </row>
    <row r="376" spans="1:42" ht="18.75">
      <c r="A376" s="749" t="s">
        <v>1</v>
      </c>
      <c r="E376" s="2342" t="s">
        <v>1239</v>
      </c>
      <c r="F376" s="2342"/>
      <c r="G376" s="2342"/>
      <c r="H376" s="2342"/>
      <c r="I376" s="2342"/>
      <c r="J376" s="2342"/>
      <c r="K376" s="2342"/>
      <c r="L376" s="2342"/>
      <c r="M376" s="2342"/>
      <c r="N376" s="2342"/>
      <c r="AO376" s="13"/>
      <c r="AP376" s="13"/>
    </row>
    <row r="377" spans="1:42" ht="53.25" customHeight="1">
      <c r="A377" s="2343" t="s">
        <v>1240</v>
      </c>
      <c r="B377" s="2343"/>
      <c r="C377" s="2343"/>
      <c r="D377" s="2343"/>
      <c r="E377" s="2343"/>
      <c r="F377" s="158" t="s">
        <v>1077</v>
      </c>
      <c r="G377" s="158"/>
      <c r="H377" s="159"/>
      <c r="I377" s="160"/>
      <c r="J377" s="161"/>
      <c r="AO377" s="13"/>
      <c r="AP377" s="13"/>
    </row>
    <row r="378" spans="1:42">
      <c r="A378" s="749" t="s">
        <v>2</v>
      </c>
      <c r="G378" s="157"/>
      <c r="AO378" s="13"/>
      <c r="AP378" s="13"/>
    </row>
    <row r="379" spans="1:42" ht="15.75">
      <c r="A379" s="187" t="s">
        <v>176</v>
      </c>
      <c r="G379" s="157"/>
      <c r="L379" s="971"/>
      <c r="AO379" s="13"/>
      <c r="AP379" s="13"/>
    </row>
    <row r="380" spans="1:42">
      <c r="A380" s="187" t="s">
        <v>177</v>
      </c>
      <c r="G380" s="157"/>
      <c r="M380" s="847" t="s">
        <v>1241</v>
      </c>
      <c r="N380" s="870">
        <v>0.35</v>
      </c>
      <c r="AO380" s="13"/>
      <c r="AP380" s="13"/>
    </row>
    <row r="381" spans="1:42">
      <c r="A381" s="749" t="s">
        <v>5</v>
      </c>
      <c r="G381" s="157"/>
      <c r="AO381" s="13"/>
      <c r="AP381" s="13"/>
    </row>
    <row r="382" spans="1:42" ht="30.75" customHeight="1">
      <c r="A382" s="751" t="s">
        <v>178</v>
      </c>
      <c r="D382" s="2344" t="s">
        <v>1242</v>
      </c>
      <c r="E382" s="2345"/>
      <c r="F382" s="2345"/>
      <c r="G382" s="2346"/>
      <c r="H382" s="972"/>
      <c r="I382" s="973"/>
      <c r="J382" s="974" t="s">
        <v>1243</v>
      </c>
      <c r="K382" s="975">
        <f>AVERAGE(N388:N391)</f>
        <v>0.18639756776132549</v>
      </c>
      <c r="L382" s="976" t="s">
        <v>1244</v>
      </c>
      <c r="M382" s="975">
        <f>AVERAGE(L388:L391)</f>
        <v>0.98342638204707178</v>
      </c>
      <c r="N382" s="977" t="s">
        <v>1135</v>
      </c>
      <c r="AO382" s="13"/>
      <c r="AP382" s="13"/>
    </row>
    <row r="383" spans="1:42" ht="15.75" customHeight="1">
      <c r="A383" s="751" t="s">
        <v>604</v>
      </c>
      <c r="G383" s="157"/>
      <c r="AO383" s="13"/>
      <c r="AP383" s="13"/>
    </row>
    <row r="384" spans="1:42" ht="15" customHeight="1">
      <c r="A384" s="187" t="s">
        <v>1245</v>
      </c>
      <c r="D384" s="978"/>
      <c r="E384" s="978"/>
      <c r="F384" s="978"/>
      <c r="G384" s="978"/>
      <c r="H384" s="979"/>
      <c r="I384" s="980"/>
      <c r="J384" s="981"/>
      <c r="K384" s="982"/>
      <c r="L384" s="983"/>
      <c r="M384" s="8"/>
      <c r="N384" s="2347"/>
      <c r="O384" s="2347"/>
      <c r="P384" s="1854"/>
      <c r="U384" s="984" t="s">
        <v>1246</v>
      </c>
      <c r="V384" s="984">
        <v>1.33</v>
      </c>
      <c r="W384" s="984" t="s">
        <v>993</v>
      </c>
      <c r="X384" s="984">
        <v>0.43</v>
      </c>
      <c r="AO384" s="13"/>
      <c r="AP384" s="13"/>
    </row>
    <row r="385" spans="1:42">
      <c r="A385" s="187"/>
      <c r="G385" s="157"/>
      <c r="L385" s="985"/>
      <c r="N385" s="2347"/>
      <c r="O385" s="2347"/>
      <c r="P385" s="1854"/>
      <c r="Q385" s="986"/>
      <c r="U385" s="984"/>
      <c r="V385" s="984">
        <v>1.36</v>
      </c>
      <c r="W385" s="984"/>
      <c r="X385" s="984"/>
      <c r="AO385" s="13"/>
      <c r="AP385" s="13"/>
    </row>
    <row r="386" spans="1:42" ht="15.75" thickBot="1">
      <c r="A386" s="187"/>
      <c r="M386" s="620"/>
      <c r="N386" s="987" t="s">
        <v>1247</v>
      </c>
      <c r="O386" s="988"/>
      <c r="P386" s="989"/>
      <c r="T386" s="1851"/>
      <c r="U386" s="627"/>
      <c r="V386" s="627"/>
      <c r="W386" s="627"/>
      <c r="X386" s="627"/>
      <c r="Y386" s="627"/>
      <c r="Z386" s="627"/>
      <c r="AA386" s="614">
        <v>0.14000000000000001</v>
      </c>
      <c r="AB386" s="628"/>
      <c r="AC386" s="628"/>
      <c r="AD386" s="1851"/>
      <c r="AE386" s="188"/>
      <c r="AF386" s="188"/>
      <c r="AG386" s="1866"/>
      <c r="AH386" s="1851"/>
      <c r="AO386" s="13"/>
      <c r="AP386" s="13"/>
    </row>
    <row r="387" spans="1:42" ht="60.75" thickBot="1">
      <c r="A387" s="187"/>
      <c r="B387" s="990" t="s">
        <v>10</v>
      </c>
      <c r="C387" s="370" t="s">
        <v>11</v>
      </c>
      <c r="D387" s="370" t="s">
        <v>743</v>
      </c>
      <c r="E387" s="370" t="s">
        <v>179</v>
      </c>
      <c r="F387" s="371" t="s">
        <v>180</v>
      </c>
      <c r="G387" s="991">
        <f>$C$11</f>
        <v>0.47</v>
      </c>
      <c r="H387" s="992" t="s">
        <v>1090</v>
      </c>
      <c r="I387" s="993">
        <f>$C$11</f>
        <v>0.47</v>
      </c>
      <c r="J387" s="423" t="s">
        <v>15</v>
      </c>
      <c r="K387" s="994" t="s">
        <v>743</v>
      </c>
      <c r="L387" s="196" t="s">
        <v>1091</v>
      </c>
      <c r="M387" s="549" t="s">
        <v>993</v>
      </c>
      <c r="N387" s="424" t="s">
        <v>1092</v>
      </c>
      <c r="O387" s="200" t="s">
        <v>1093</v>
      </c>
      <c r="P387" s="995" t="s">
        <v>1092</v>
      </c>
      <c r="Q387" s="201" t="s">
        <v>1094</v>
      </c>
      <c r="R387" s="350" t="s">
        <v>1095</v>
      </c>
      <c r="S387" s="996" t="s">
        <v>1106</v>
      </c>
      <c r="T387" s="203" t="s">
        <v>1095</v>
      </c>
      <c r="U387" s="204" t="s">
        <v>1096</v>
      </c>
      <c r="V387" s="205" t="s">
        <v>1093</v>
      </c>
      <c r="W387" s="206" t="s">
        <v>1094</v>
      </c>
      <c r="X387" s="207" t="s">
        <v>1097</v>
      </c>
      <c r="Y387" s="208">
        <f>$X$33</f>
        <v>0.49</v>
      </c>
      <c r="Z387" s="207" t="s">
        <v>1098</v>
      </c>
      <c r="AA387" s="209" t="s">
        <v>1099</v>
      </c>
      <c r="AB387" s="209" t="s">
        <v>1100</v>
      </c>
      <c r="AC387" s="210" t="s">
        <v>1092</v>
      </c>
      <c r="AD387" s="211" t="s">
        <v>1101</v>
      </c>
      <c r="AE387" s="209" t="s">
        <v>1102</v>
      </c>
      <c r="AF387" s="208" t="s">
        <v>1103</v>
      </c>
      <c r="AG387" s="1867" t="s">
        <v>1104</v>
      </c>
      <c r="AH387" s="213" t="s">
        <v>1116</v>
      </c>
      <c r="AI387" s="319" t="s">
        <v>1248</v>
      </c>
      <c r="AJ387" s="320" t="s">
        <v>1108</v>
      </c>
      <c r="AK387" s="219" t="s">
        <v>1109</v>
      </c>
      <c r="AL387" s="219" t="s">
        <v>1112</v>
      </c>
      <c r="AM387" s="219" t="s">
        <v>1113</v>
      </c>
      <c r="AO387" s="13"/>
      <c r="AP387" s="13"/>
    </row>
    <row r="388" spans="1:42" ht="15.75">
      <c r="A388" s="187"/>
      <c r="B388" s="997" t="s">
        <v>181</v>
      </c>
      <c r="C388" s="223" t="s">
        <v>182</v>
      </c>
      <c r="D388" s="223">
        <v>21</v>
      </c>
      <c r="E388" s="224">
        <v>200</v>
      </c>
      <c r="F388" s="225">
        <v>47</v>
      </c>
      <c r="G388" s="998">
        <f>F388-F388*$G$387</f>
        <v>24.91</v>
      </c>
      <c r="H388" s="999">
        <f>F388*(1+$H$33)</f>
        <v>50.290000000000006</v>
      </c>
      <c r="I388" s="1000">
        <f>H388-H388*$I$387</f>
        <v>26.653700000000004</v>
      </c>
      <c r="J388" s="1001">
        <v>47</v>
      </c>
      <c r="K388" s="478">
        <v>22</v>
      </c>
      <c r="L388" s="855">
        <f>K388/D388*100%</f>
        <v>1.0476190476190477</v>
      </c>
      <c r="M388" s="694">
        <v>26.58</v>
      </c>
      <c r="N388" s="437">
        <f>((M388/G388)-1)*100%</f>
        <v>6.70413488558812E-2</v>
      </c>
      <c r="O388" s="326">
        <v>0.60157338330445853</v>
      </c>
      <c r="P388" s="1002">
        <f>((M388/I388)-1)*100%</f>
        <v>-2.7650945272140737E-3</v>
      </c>
      <c r="Q388" s="258">
        <f>O388*$R$33</f>
        <v>28.293800936958601</v>
      </c>
      <c r="R388" s="259">
        <f>((G388-Q388)/G388)*100%</f>
        <v>-0.13584106531347251</v>
      </c>
      <c r="S388" s="1003">
        <f>AI388/$AJ$392</f>
        <v>0.74877391878556754</v>
      </c>
      <c r="T388" s="237">
        <f>((I388-Q388)/I388)*100%</f>
        <v>-6.1533705900441445E-2</v>
      </c>
      <c r="U388" s="238">
        <v>0.46</v>
      </c>
      <c r="V388" s="239">
        <f>U388*$V$384</f>
        <v>0.61180000000000001</v>
      </c>
      <c r="W388" s="239">
        <f>V388*$R$33</f>
        <v>28.7747894</v>
      </c>
      <c r="X388" s="240">
        <f>(ROUND(W388/(1-$AA$386),0))</f>
        <v>33</v>
      </c>
      <c r="Y388" s="239">
        <f>Z388*(1-$X$33)</f>
        <v>29.580000000000002</v>
      </c>
      <c r="Z388" s="240">
        <f>ROUND(X388/(1-$X$384),0)</f>
        <v>58</v>
      </c>
      <c r="AA388" s="241">
        <f>((X388-W388)/X388)*100%</f>
        <v>0.12803668484848485</v>
      </c>
      <c r="AB388" s="241">
        <f>((Y388-W388)/Y388)*100%</f>
        <v>2.7221453684922323E-2</v>
      </c>
      <c r="AC388" s="265">
        <f>((M388/Y388)-1)*100%</f>
        <v>-0.10141987829614618</v>
      </c>
      <c r="AD388" s="1004">
        <f>((M388*0.96-Y388)/(M388*0.96))*100%</f>
        <v>-0.15923626787057962</v>
      </c>
      <c r="AE388" s="238">
        <f>N388/$R$33</f>
        <v>1.4254108573954712E-3</v>
      </c>
      <c r="AF388" s="239">
        <f>(V388/(1-$AA$386))</f>
        <v>0.71139534883720934</v>
      </c>
      <c r="AG388" s="1868">
        <v>1.34</v>
      </c>
      <c r="AH388" s="244">
        <f>((AF388-V388)/AF388)*100%</f>
        <v>0.14000000000000004</v>
      </c>
      <c r="AI388" s="354">
        <f>VLOOKUP($B388,[1]Статистика!$B:$D,3,FALSE)</f>
        <v>100919</v>
      </c>
      <c r="AJ388" s="355">
        <f>AI388*O388*R388</f>
        <v>-8246.9361065736284</v>
      </c>
      <c r="AK388" s="50">
        <f>AJ388/$AK$392</f>
        <v>0.49483791392258403</v>
      </c>
      <c r="AL388" s="50"/>
      <c r="AM388" s="50"/>
      <c r="AO388" s="13"/>
      <c r="AP388" s="13"/>
    </row>
    <row r="389" spans="1:42" ht="15.75">
      <c r="A389" s="187"/>
      <c r="B389" s="1005" t="s">
        <v>183</v>
      </c>
      <c r="C389" s="925" t="s">
        <v>184</v>
      </c>
      <c r="D389" s="925">
        <v>14.5</v>
      </c>
      <c r="E389" s="926">
        <v>100</v>
      </c>
      <c r="F389" s="1006">
        <v>64</v>
      </c>
      <c r="G389" s="998">
        <f>F389-F389*$G$387</f>
        <v>33.92</v>
      </c>
      <c r="H389" s="999">
        <f>F389*(1+$H$33)</f>
        <v>68.48</v>
      </c>
      <c r="I389" s="1000">
        <f>H389-H389*$I$387</f>
        <v>36.294400000000003</v>
      </c>
      <c r="J389" s="1007">
        <v>65</v>
      </c>
      <c r="K389" s="929">
        <v>14.8</v>
      </c>
      <c r="L389" s="1008">
        <f>K389/D389*100%</f>
        <v>1.0206896551724138</v>
      </c>
      <c r="M389" s="1009">
        <f>J389-(J389*$N$380)</f>
        <v>42.25</v>
      </c>
      <c r="N389" s="932">
        <f>((M389/G389)-1)*100%</f>
        <v>0.24557783018867929</v>
      </c>
      <c r="O389" s="1010">
        <v>0.86319333782433971</v>
      </c>
      <c r="P389" s="1002">
        <f>((M389/I389)-1)*100%</f>
        <v>0.16409143008287774</v>
      </c>
      <c r="Q389" s="650">
        <f>O389*$R$33</f>
        <v>40.598572257892172</v>
      </c>
      <c r="R389" s="933">
        <f>((G389-Q389)/G389)*100%</f>
        <v>-0.1968918708105003</v>
      </c>
      <c r="S389" s="1011">
        <f>AI389/$AJ$392</f>
        <v>0.14876204749998145</v>
      </c>
      <c r="T389" s="260">
        <f>((I389-Q389)/I389)*100%</f>
        <v>-0.11859053346775726</v>
      </c>
      <c r="U389" s="261">
        <v>0.621</v>
      </c>
      <c r="V389" s="239">
        <f>U389*$V$384</f>
        <v>0.82593000000000005</v>
      </c>
      <c r="W389" s="262">
        <f>V389*$R$33</f>
        <v>38.845965690000007</v>
      </c>
      <c r="X389" s="240">
        <f>(ROUND(W389/(1-$AA$386),0))</f>
        <v>45</v>
      </c>
      <c r="Y389" s="239">
        <f>Z389*(1-$X$33)</f>
        <v>40.29</v>
      </c>
      <c r="Z389" s="240">
        <f>ROUND(X389/(1-$X$384),0)</f>
        <v>79</v>
      </c>
      <c r="AA389" s="264">
        <f>((X389-W389)/X389)*100%</f>
        <v>0.13675631799999985</v>
      </c>
      <c r="AB389" s="241">
        <f>((Y389-W389)/Y389)*100%</f>
        <v>3.584101042442274E-2</v>
      </c>
      <c r="AC389" s="242">
        <f>((M389/Y389)-1)*100%</f>
        <v>4.8647307024075381E-2</v>
      </c>
      <c r="AD389" s="1004">
        <f>((M389*0.96-Y389)/(M389*0.96))*100%</f>
        <v>6.6568047337277137E-3</v>
      </c>
      <c r="AE389" s="261">
        <f>N389/$R$33</f>
        <v>5.2213941315391171E-3</v>
      </c>
      <c r="AF389" s="239">
        <f>(V389/(1-$AA$386))</f>
        <v>0.96038372093023261</v>
      </c>
      <c r="AG389" s="1869">
        <v>1.81</v>
      </c>
      <c r="AH389" s="267">
        <f>((AF389-V389)/AF389)*100%</f>
        <v>0.13999999999999999</v>
      </c>
      <c r="AI389" s="431">
        <f>VLOOKUP($B389,[1]Статистика!$B:$D,3,FALSE)</f>
        <v>20050</v>
      </c>
      <c r="AJ389" s="270">
        <f>AI389*O389*R389</f>
        <v>-3407.6128106656583</v>
      </c>
      <c r="AK389" s="334">
        <f>AJ389/$AK$392</f>
        <v>0.20446575466270264</v>
      </c>
      <c r="AL389" s="77"/>
      <c r="AM389" s="77"/>
      <c r="AO389" s="13"/>
      <c r="AP389" s="13"/>
    </row>
    <row r="390" spans="1:42" ht="15.75">
      <c r="A390" s="187"/>
      <c r="B390" s="1005" t="s">
        <v>185</v>
      </c>
      <c r="C390" s="925" t="s">
        <v>186</v>
      </c>
      <c r="D390" s="925">
        <v>13.5</v>
      </c>
      <c r="E390" s="925">
        <v>50</v>
      </c>
      <c r="F390" s="1006">
        <v>108</v>
      </c>
      <c r="G390" s="998">
        <f>F390-F390*$G$387</f>
        <v>57.24</v>
      </c>
      <c r="H390" s="999">
        <f>F390*(1+$H$33)</f>
        <v>115.56</v>
      </c>
      <c r="I390" s="1000">
        <f>H390-H390*$I$387</f>
        <v>61.246800000000007</v>
      </c>
      <c r="J390" s="1007">
        <v>115</v>
      </c>
      <c r="K390" s="929">
        <v>12.3</v>
      </c>
      <c r="L390" s="495">
        <f>K390/D390*100%</f>
        <v>0.9111111111111112</v>
      </c>
      <c r="M390" s="1009">
        <v>61.9</v>
      </c>
      <c r="N390" s="932">
        <f>((M390/G390)-1)*100%</f>
        <v>8.1411600279524654E-2</v>
      </c>
      <c r="O390" s="1012">
        <v>1.5100000000000002</v>
      </c>
      <c r="P390" s="1002">
        <f>((M390/I390)-1)*100%</f>
        <v>1.066504699020987E-2</v>
      </c>
      <c r="Q390" s="650">
        <f>O390*$R$33</f>
        <v>71.019830000000013</v>
      </c>
      <c r="R390" s="933">
        <f>((G390-Q390)/G390)*100%</f>
        <v>-0.24073777078965777</v>
      </c>
      <c r="S390" s="1011">
        <f>AI390/$AJ$392</f>
        <v>8.7728800480787072E-2</v>
      </c>
      <c r="T390" s="260">
        <f>((I390-Q390)/I390)*100%</f>
        <v>-0.15956801008379221</v>
      </c>
      <c r="U390" s="261">
        <v>0.96599999999999997</v>
      </c>
      <c r="V390" s="239">
        <f>U390*$V$384</f>
        <v>1.28478</v>
      </c>
      <c r="W390" s="262">
        <f>V390*$R$33</f>
        <v>60.427057740000002</v>
      </c>
      <c r="X390" s="240">
        <f>(ROUND(W390/(1-$AA$386),0))</f>
        <v>70</v>
      </c>
      <c r="Y390" s="239">
        <f>Z390*(1-$X$33)</f>
        <v>62.730000000000004</v>
      </c>
      <c r="Z390" s="240">
        <f>ROUND(X390/(1-$X$384),0)</f>
        <v>123</v>
      </c>
      <c r="AA390" s="264">
        <f>((X390-W390)/X390)*100%</f>
        <v>0.13675631799999996</v>
      </c>
      <c r="AB390" s="241">
        <f>((Y390-W390)/Y390)*100%</f>
        <v>3.6711976087996201E-2</v>
      </c>
      <c r="AC390" s="242">
        <f>((M390/Y390)-1)*100%</f>
        <v>-1.3231308783676177E-2</v>
      </c>
      <c r="AD390" s="1004">
        <f>((M390*0.96-Y390)/(M390*0.96))*100%</f>
        <v>-5.5634087237479882E-2</v>
      </c>
      <c r="AE390" s="261">
        <f>N390/$R$33</f>
        <v>1.7309463627564615E-3</v>
      </c>
      <c r="AF390" s="239">
        <f>(V390/(1-$AA$386))</f>
        <v>1.4939302325581396</v>
      </c>
      <c r="AG390" s="1869">
        <v>2.82</v>
      </c>
      <c r="AH390" s="267">
        <f>((AF390-V390)/AF390)*100%</f>
        <v>0.14000000000000001</v>
      </c>
      <c r="AI390" s="431">
        <f>VLOOKUP($B390,[1]Статистика!$B:$D,3,FALSE)</f>
        <v>11824</v>
      </c>
      <c r="AJ390" s="270">
        <f>AI390*O390*R390</f>
        <v>-4298.1899367435399</v>
      </c>
      <c r="AK390" s="334">
        <f>AJ390/$AK$392</f>
        <v>0.25790273071787956</v>
      </c>
      <c r="AL390" s="77"/>
      <c r="AM390" s="77"/>
      <c r="AO390" s="13"/>
      <c r="AP390" s="13"/>
    </row>
    <row r="391" spans="1:42" ht="16.5" thickBot="1">
      <c r="B391" s="1013" t="s">
        <v>187</v>
      </c>
      <c r="C391" s="402" t="s">
        <v>188</v>
      </c>
      <c r="D391" s="402">
        <v>17.5</v>
      </c>
      <c r="E391" s="402">
        <v>50</v>
      </c>
      <c r="F391" s="403">
        <v>147</v>
      </c>
      <c r="G391" s="998">
        <f>F391-F391*$G$387</f>
        <v>77.910000000000011</v>
      </c>
      <c r="H391" s="999">
        <f>F391*(1+$H$33)</f>
        <v>157.29000000000002</v>
      </c>
      <c r="I391" s="1000">
        <f>H391-H391*$I$387</f>
        <v>83.363700000000009</v>
      </c>
      <c r="J391" s="1014">
        <v>162</v>
      </c>
      <c r="K391" s="406">
        <v>16.7</v>
      </c>
      <c r="L391" s="1015">
        <f>K391/D391*100%</f>
        <v>0.95428571428571429</v>
      </c>
      <c r="M391" s="1016">
        <f>J391-(J391*$N$380)</f>
        <v>105.30000000000001</v>
      </c>
      <c r="N391" s="409">
        <f>((M391/G391)-1)*100%</f>
        <v>0.35155949172121681</v>
      </c>
      <c r="O391" s="1010">
        <v>1.9600000000000002</v>
      </c>
      <c r="P391" s="1017">
        <f>((M391/I391)-1)*100%</f>
        <v>0.26313971188898755</v>
      </c>
      <c r="Q391" s="650">
        <f>O391*$R$33</f>
        <v>92.184680000000014</v>
      </c>
      <c r="R391" s="1018">
        <f>((G391-Q391)/G391)*100%</f>
        <v>-0.18322012578616353</v>
      </c>
      <c r="S391" s="1011">
        <f>AI391/$AJ$392</f>
        <v>1.4735233233663998E-2</v>
      </c>
      <c r="T391" s="260">
        <f>((I391-Q391)/I391)*100%</f>
        <v>-0.10581320166931177</v>
      </c>
      <c r="U391" s="261">
        <v>1.44</v>
      </c>
      <c r="V391" s="239">
        <f>U391*$V$385</f>
        <v>1.9584000000000001</v>
      </c>
      <c r="W391" s="262">
        <f>V391*$R$33</f>
        <v>92.109427200000013</v>
      </c>
      <c r="X391" s="240">
        <f>(ROUND(W391/(1-$AA$386),0))</f>
        <v>107</v>
      </c>
      <c r="Y391" s="239">
        <f>Z391*(1-$X$33)</f>
        <v>95.88</v>
      </c>
      <c r="Z391" s="240">
        <f>ROUND(X391/(1-$X$384),0)</f>
        <v>188</v>
      </c>
      <c r="AA391" s="264">
        <f>((X391-W391)/X391)*100%</f>
        <v>0.13916423177570081</v>
      </c>
      <c r="AB391" s="241">
        <f>((Y391-W391)/Y391)*100%</f>
        <v>3.9325957446808328E-2</v>
      </c>
      <c r="AC391" s="242">
        <f>((M391/Y391)-1)*100%</f>
        <v>9.824780976220282E-2</v>
      </c>
      <c r="AD391" s="1004">
        <f>((M391*0.96-Y391)/(M391*0.96))*100%</f>
        <v>5.1519468186134974E-2</v>
      </c>
      <c r="AE391" s="261">
        <f>N391/$R$33</f>
        <v>7.4747409631794014E-3</v>
      </c>
      <c r="AF391" s="239">
        <f>(V391/(1-$AA$386))</f>
        <v>2.2772093023255815</v>
      </c>
      <c r="AG391" s="1869">
        <v>4.3</v>
      </c>
      <c r="AH391" s="267">
        <f>((AF391-V391)/AF391)*100%</f>
        <v>0.13999999999999999</v>
      </c>
      <c r="AI391" s="431">
        <f>VLOOKUP($B391,[1]Статистика!$B:$D,3,FALSE)</f>
        <v>1986</v>
      </c>
      <c r="AJ391" s="270">
        <f>AI391*O391*R391</f>
        <v>-713.19533283018882</v>
      </c>
      <c r="AK391" s="334">
        <f>AJ391/$AK$392</f>
        <v>4.2793600696833869E-2</v>
      </c>
      <c r="AL391" s="77"/>
      <c r="AM391" s="77"/>
      <c r="AO391" s="13"/>
      <c r="AP391" s="13"/>
    </row>
    <row r="392" spans="1:42" ht="16.5" thickBot="1">
      <c r="P392" s="127">
        <f>AVERAGE(P388:P391)</f>
        <v>0.10878277360871527</v>
      </c>
      <c r="R392" s="1856" t="s">
        <v>1133</v>
      </c>
      <c r="S392" s="615">
        <f>AVERAGE(R388:R391)</f>
        <v>-0.18917270817494852</v>
      </c>
      <c r="T392" s="525">
        <f>AVERAGE(T388:T391)</f>
        <v>-0.11137636278032567</v>
      </c>
      <c r="U392" s="1019"/>
      <c r="V392" s="1019"/>
      <c r="W392" s="1019"/>
      <c r="X392" s="1019"/>
      <c r="Y392" s="1019"/>
      <c r="Z392" s="1019"/>
      <c r="AA392" s="1020">
        <f>AVERAGE(AA388:AA391)</f>
        <v>0.13517838815604638</v>
      </c>
      <c r="AB392" s="1020">
        <f>AVERAGE(AB388:AB391)</f>
        <v>3.4775099411037395E-2</v>
      </c>
      <c r="AC392" s="1020">
        <f>AVERAGE(AC388:AC391)</f>
        <v>8.0609824266139607E-3</v>
      </c>
      <c r="AD392" s="1020">
        <f>AVERAGE(AD388:AD391)</f>
        <v>-3.9173520547049208E-2</v>
      </c>
      <c r="AE392" s="1019"/>
      <c r="AF392" s="1019"/>
      <c r="AG392" s="1885"/>
      <c r="AH392" s="1020">
        <f>AVERAGE(AH388:AH391)</f>
        <v>0.14000000000000001</v>
      </c>
      <c r="AI392" s="512">
        <f>R388*S388+R389*S389+R390*S390+R391*S391</f>
        <v>-0.15482371179300258</v>
      </c>
      <c r="AJ392" s="1021">
        <f>SUM(AI388:AI391)</f>
        <v>134779</v>
      </c>
      <c r="AK392" s="1022">
        <f>SUM(AJ388:AJ391)</f>
        <v>-16665.934186813014</v>
      </c>
      <c r="AO392" s="13"/>
      <c r="AP392" s="13"/>
    </row>
    <row r="393" spans="1:42">
      <c r="AO393" s="13"/>
      <c r="AP393" s="13"/>
    </row>
    <row r="394" spans="1:42">
      <c r="AO394" s="13"/>
      <c r="AP394" s="13"/>
    </row>
    <row r="395" spans="1:42" ht="18.75">
      <c r="A395" s="834" t="s">
        <v>84</v>
      </c>
      <c r="B395" s="1023"/>
      <c r="C395" s="893"/>
      <c r="D395" s="893"/>
      <c r="E395" s="893"/>
      <c r="G395" s="412"/>
      <c r="H395" s="1024"/>
      <c r="I395" s="1848"/>
      <c r="J395" s="1025"/>
      <c r="K395" s="533"/>
      <c r="AO395" s="13"/>
      <c r="AP395" s="13"/>
    </row>
    <row r="396" spans="1:42">
      <c r="A396" s="749" t="s">
        <v>1</v>
      </c>
      <c r="E396" s="157"/>
      <c r="F396" s="158" t="s">
        <v>1077</v>
      </c>
      <c r="G396" s="158"/>
      <c r="H396" s="159"/>
      <c r="I396" s="160"/>
      <c r="J396" s="541"/>
      <c r="K396" s="533"/>
      <c r="AO396" s="13"/>
      <c r="AP396" s="13"/>
    </row>
    <row r="397" spans="1:42">
      <c r="A397" s="187" t="s">
        <v>85</v>
      </c>
      <c r="B397" s="156"/>
      <c r="E397" s="157"/>
      <c r="J397" s="532"/>
      <c r="K397" s="533"/>
      <c r="AO397" s="13"/>
      <c r="AP397" s="13"/>
    </row>
    <row r="398" spans="1:42">
      <c r="A398" s="187" t="s">
        <v>1249</v>
      </c>
      <c r="E398" s="157"/>
      <c r="J398" s="532"/>
      <c r="K398" s="533"/>
      <c r="AO398" s="13"/>
      <c r="AP398" s="13"/>
    </row>
    <row r="399" spans="1:42" ht="36.75" customHeight="1">
      <c r="A399" s="2323" t="s">
        <v>562</v>
      </c>
      <c r="B399" s="2323"/>
      <c r="C399" s="2323"/>
      <c r="D399" s="2323"/>
      <c r="E399" s="2323"/>
      <c r="F399" s="2323"/>
      <c r="G399" s="2323"/>
      <c r="H399" s="2323"/>
      <c r="I399" s="2323"/>
      <c r="J399" s="2323"/>
      <c r="K399" s="533"/>
      <c r="AO399" s="13"/>
      <c r="AP399" s="13"/>
    </row>
    <row r="400" spans="1:42">
      <c r="A400" s="749" t="s">
        <v>2</v>
      </c>
      <c r="B400" s="1846"/>
      <c r="E400" s="157"/>
      <c r="J400" s="532"/>
      <c r="K400" s="533"/>
      <c r="AO400" s="13"/>
      <c r="AP400" s="13"/>
    </row>
    <row r="401" spans="1:42">
      <c r="A401" s="187" t="s">
        <v>86</v>
      </c>
      <c r="B401" s="156"/>
      <c r="E401" s="157"/>
      <c r="J401" s="532"/>
      <c r="K401" s="533"/>
      <c r="AO401" s="13"/>
      <c r="AP401" s="13"/>
    </row>
    <row r="402" spans="1:42">
      <c r="A402" s="187" t="s">
        <v>1250</v>
      </c>
      <c r="E402" s="157"/>
      <c r="J402" s="532"/>
      <c r="K402" s="533"/>
      <c r="AO402" s="13"/>
      <c r="AP402" s="13"/>
    </row>
    <row r="403" spans="1:42">
      <c r="A403" s="187" t="s">
        <v>87</v>
      </c>
      <c r="E403" s="157"/>
      <c r="J403" s="532"/>
      <c r="K403" s="533"/>
      <c r="O403" s="2353" t="s">
        <v>1156</v>
      </c>
      <c r="P403" s="2353"/>
      <c r="Q403" s="2353"/>
      <c r="AO403" s="13"/>
      <c r="AP403" s="13"/>
    </row>
    <row r="404" spans="1:42">
      <c r="A404" s="749" t="s">
        <v>5</v>
      </c>
      <c r="E404" s="157"/>
      <c r="J404" s="532"/>
      <c r="K404" s="533"/>
      <c r="O404" s="844">
        <v>1.75</v>
      </c>
      <c r="P404" s="844"/>
      <c r="Q404" s="78">
        <f>O404*1.2</f>
        <v>2.1</v>
      </c>
      <c r="W404" s="1026" t="s">
        <v>1251</v>
      </c>
      <c r="X404" s="1026">
        <f>$C$12</f>
        <v>0.54</v>
      </c>
      <c r="AO404" s="13"/>
      <c r="AP404" s="13"/>
    </row>
    <row r="405" spans="1:42">
      <c r="A405" s="751" t="s">
        <v>88</v>
      </c>
      <c r="B405" s="156"/>
      <c r="E405" s="157"/>
      <c r="J405" s="532"/>
      <c r="K405" s="533"/>
      <c r="O405" s="844">
        <v>2.62</v>
      </c>
      <c r="P405" s="844"/>
      <c r="Q405" s="78">
        <f>O405*1.2</f>
        <v>3.1440000000000001</v>
      </c>
      <c r="W405" s="1026" t="s">
        <v>1252</v>
      </c>
      <c r="X405" s="1026">
        <v>0.56000000000000005</v>
      </c>
      <c r="AO405" s="13"/>
      <c r="AP405" s="13"/>
    </row>
    <row r="406" spans="1:42">
      <c r="A406" s="751" t="s">
        <v>600</v>
      </c>
      <c r="B406" s="162"/>
      <c r="J406" s="532"/>
      <c r="K406" s="533"/>
      <c r="AO406" s="13"/>
      <c r="AP406" s="13"/>
    </row>
    <row r="407" spans="1:42" ht="15.75" thickBot="1">
      <c r="A407" s="149" t="s">
        <v>89</v>
      </c>
      <c r="B407" s="162"/>
      <c r="C407" s="157" t="s">
        <v>90</v>
      </c>
      <c r="J407" s="532"/>
      <c r="K407" s="2309" t="s">
        <v>1253</v>
      </c>
      <c r="L407" s="2309"/>
      <c r="M407" s="2309"/>
      <c r="N407" s="2309"/>
      <c r="O407" s="2309"/>
      <c r="P407" s="1852"/>
      <c r="T407" s="1851"/>
      <c r="U407" s="627"/>
      <c r="V407" s="627"/>
      <c r="W407" s="627"/>
      <c r="X407" s="627"/>
      <c r="Y407" s="627"/>
      <c r="Z407" s="627"/>
      <c r="AA407" s="614">
        <v>0.12</v>
      </c>
      <c r="AB407" s="628">
        <v>0.24</v>
      </c>
      <c r="AC407" s="628"/>
      <c r="AD407" s="1851"/>
      <c r="AE407" s="188"/>
      <c r="AF407" s="188"/>
      <c r="AG407" s="1866"/>
      <c r="AH407" s="1851"/>
      <c r="AO407" s="13"/>
      <c r="AP407" s="13"/>
    </row>
    <row r="408" spans="1:42" ht="60.75" thickBot="1">
      <c r="A408" s="187"/>
      <c r="B408" s="369" t="s">
        <v>10</v>
      </c>
      <c r="C408" s="370" t="s">
        <v>11</v>
      </c>
      <c r="D408" s="370" t="s">
        <v>12</v>
      </c>
      <c r="E408" s="370" t="s">
        <v>13</v>
      </c>
      <c r="F408" s="370" t="s">
        <v>14</v>
      </c>
      <c r="G408" s="371" t="s">
        <v>15</v>
      </c>
      <c r="H408" s="372" t="s">
        <v>1090</v>
      </c>
      <c r="I408" s="633">
        <f>$C$12</f>
        <v>0.54</v>
      </c>
      <c r="J408" s="684">
        <f>$C$12</f>
        <v>0.54</v>
      </c>
      <c r="K408" s="548" t="s">
        <v>15</v>
      </c>
      <c r="L408" s="423" t="s">
        <v>12</v>
      </c>
      <c r="M408" s="196" t="s">
        <v>1091</v>
      </c>
      <c r="N408" s="549" t="s">
        <v>993</v>
      </c>
      <c r="O408" s="424" t="s">
        <v>1092</v>
      </c>
      <c r="P408" s="772" t="s">
        <v>1092</v>
      </c>
      <c r="Q408" s="200" t="s">
        <v>1093</v>
      </c>
      <c r="R408" s="201" t="s">
        <v>1094</v>
      </c>
      <c r="S408" s="350" t="s">
        <v>1095</v>
      </c>
      <c r="T408" s="203" t="s">
        <v>1095</v>
      </c>
      <c r="U408" s="204" t="s">
        <v>1096</v>
      </c>
      <c r="V408" s="205" t="s">
        <v>1093</v>
      </c>
      <c r="W408" s="206" t="s">
        <v>1094</v>
      </c>
      <c r="X408" s="207" t="s">
        <v>1097</v>
      </c>
      <c r="Y408" s="208">
        <f>$X$405</f>
        <v>0.56000000000000005</v>
      </c>
      <c r="Z408" s="207" t="s">
        <v>1098</v>
      </c>
      <c r="AA408" s="209" t="s">
        <v>1099</v>
      </c>
      <c r="AB408" s="209" t="s">
        <v>1100</v>
      </c>
      <c r="AC408" s="210" t="s">
        <v>1092</v>
      </c>
      <c r="AD408" s="211" t="s">
        <v>1101</v>
      </c>
      <c r="AE408" s="209" t="s">
        <v>1102</v>
      </c>
      <c r="AF408" s="208" t="s">
        <v>1103</v>
      </c>
      <c r="AG408" s="1867" t="s">
        <v>1104</v>
      </c>
      <c r="AH408" s="213" t="s">
        <v>1116</v>
      </c>
      <c r="AI408" s="220" t="s">
        <v>1106</v>
      </c>
      <c r="AJ408" s="483" t="s">
        <v>1107</v>
      </c>
      <c r="AK408" s="484" t="s">
        <v>1108</v>
      </c>
      <c r="AL408" s="221" t="s">
        <v>1109</v>
      </c>
      <c r="AM408" s="221" t="s">
        <v>1175</v>
      </c>
      <c r="AN408" s="221" t="s">
        <v>1176</v>
      </c>
      <c r="AO408" s="13"/>
      <c r="AP408" s="13"/>
    </row>
    <row r="409" spans="1:42" ht="15.75">
      <c r="A409" s="271"/>
      <c r="B409" s="439" t="s">
        <v>343</v>
      </c>
      <c r="C409" s="376" t="s">
        <v>190</v>
      </c>
      <c r="D409" s="377">
        <v>200</v>
      </c>
      <c r="E409" s="376">
        <v>10</v>
      </c>
      <c r="F409" s="377">
        <v>80</v>
      </c>
      <c r="G409" s="689">
        <v>206</v>
      </c>
      <c r="H409" s="1027">
        <f>G409*(1+$H$33)</f>
        <v>220.42000000000002</v>
      </c>
      <c r="I409" s="1027">
        <f>H409-H409*$J$408</f>
        <v>101.39319999999999</v>
      </c>
      <c r="J409" s="1028">
        <f>G409-G409*$J$408</f>
        <v>94.759999999999991</v>
      </c>
      <c r="K409" s="1029">
        <v>243</v>
      </c>
      <c r="L409" s="478">
        <v>180</v>
      </c>
      <c r="M409" s="1030">
        <f>L409/D409*100%</f>
        <v>0.9</v>
      </c>
      <c r="N409" s="258">
        <f>K409-(K409*$O$33)</f>
        <v>121.5</v>
      </c>
      <c r="O409" s="232">
        <f>((N409/J409)-1)*100%</f>
        <v>0.28218657661460544</v>
      </c>
      <c r="P409" s="325">
        <f>((N409/I409)-1)*100%</f>
        <v>0.1983052117893509</v>
      </c>
      <c r="Q409" s="326">
        <v>2.52</v>
      </c>
      <c r="R409" s="698">
        <f>Q404*$R$33</f>
        <v>98.769300000000001</v>
      </c>
      <c r="S409" s="259">
        <f>((J409-R409)/J409)*100%</f>
        <v>-4.2310046433094245E-2</v>
      </c>
      <c r="T409" s="237">
        <f>((I409-R409)/I409)*100%</f>
        <v>2.5878461277482043E-2</v>
      </c>
      <c r="U409" s="238">
        <v>1.897</v>
      </c>
      <c r="V409" s="239">
        <f>U409*$X$31</f>
        <v>2.2763999999999998</v>
      </c>
      <c r="W409" s="239">
        <f>V409*$R$33</f>
        <v>107.06592119999999</v>
      </c>
      <c r="X409" s="240">
        <f>(ROUND(W409/(1-$AA$407),0))</f>
        <v>122</v>
      </c>
      <c r="Y409" s="239">
        <f>Z409*(1-$X$405)</f>
        <v>116.59999999999998</v>
      </c>
      <c r="Z409" s="240">
        <f>ROUND(X409/(1-$X$404),0)</f>
        <v>265</v>
      </c>
      <c r="AA409" s="241">
        <f>((X409-W409)/X409)*100%</f>
        <v>0.12241048196721319</v>
      </c>
      <c r="AB409" s="241">
        <f>((Y409-W409)/Y409)*100%</f>
        <v>8.1767399656946751E-2</v>
      </c>
      <c r="AC409" s="265">
        <f>((N409/Y409)-1)*100%</f>
        <v>4.2024013722127052E-2</v>
      </c>
      <c r="AD409" s="1004">
        <f>((N409*0.96-W409)/(N409*0.96))*100%</f>
        <v>8.2082294238683212E-2</v>
      </c>
      <c r="AE409" s="238">
        <f>N409/$R$33</f>
        <v>2.5832925818042649</v>
      </c>
      <c r="AF409" s="239">
        <f>(V409/(1-$AA$407))</f>
        <v>2.5868181818181815</v>
      </c>
      <c r="AG409" s="1886">
        <v>5.5</v>
      </c>
      <c r="AH409" s="244">
        <f>((AF409-V409)/AF409)*100%</f>
        <v>0.11999999999999997</v>
      </c>
      <c r="AI409" s="866">
        <f>AJ409/$AJ$411</f>
        <v>0.87401520147155798</v>
      </c>
      <c r="AJ409" s="864">
        <f>VLOOKUP($B409,[1]Статистика!$B:$D,3,FALSE)</f>
        <v>25183</v>
      </c>
      <c r="AK409" s="865">
        <f>AJ409*Q409*S409</f>
        <v>-2685.0446262980231</v>
      </c>
      <c r="AL409" s="866">
        <f>AK409/$AK$411</f>
        <v>1.8548574882066031</v>
      </c>
      <c r="AM409" s="92">
        <f>AJ409/$AJ$442</f>
        <v>0.41455545129800647</v>
      </c>
      <c r="AN409" s="92">
        <f>AK409/$AK$442</f>
        <v>-0.4788930994513082</v>
      </c>
      <c r="AO409" s="13"/>
      <c r="AP409" s="13"/>
    </row>
    <row r="410" spans="1:42" ht="16.5" thickBot="1">
      <c r="A410" s="187"/>
      <c r="B410" s="359" t="s">
        <v>344</v>
      </c>
      <c r="C410" s="275" t="s">
        <v>192</v>
      </c>
      <c r="D410" s="276">
        <v>305</v>
      </c>
      <c r="E410" s="275">
        <v>8</v>
      </c>
      <c r="F410" s="276">
        <v>64</v>
      </c>
      <c r="G410" s="339">
        <v>358</v>
      </c>
      <c r="H410" s="1031">
        <f>G410*(1+$H$33)</f>
        <v>383.06</v>
      </c>
      <c r="I410" s="1031">
        <f>H410-H410*$J$408</f>
        <v>176.20759999999999</v>
      </c>
      <c r="J410" s="1032">
        <f>G410-G410*$J$408</f>
        <v>164.67999999999998</v>
      </c>
      <c r="K410" s="900">
        <v>421</v>
      </c>
      <c r="L410" s="341">
        <v>310</v>
      </c>
      <c r="M410" s="342">
        <f>L410/D410*100%</f>
        <v>1.0163934426229508</v>
      </c>
      <c r="N410" s="390">
        <f>K410-(K410*$O$33)</f>
        <v>210.5</v>
      </c>
      <c r="O410" s="901">
        <f>((N410/J410)-1)*100%</f>
        <v>0.27823658003400542</v>
      </c>
      <c r="P410" s="1033">
        <f>((N410/I410)-1)*100%</f>
        <v>0.19461362620000511</v>
      </c>
      <c r="Q410" s="344">
        <v>3.34</v>
      </c>
      <c r="R410" s="698">
        <f>Q405*$R$33</f>
        <v>147.87175200000001</v>
      </c>
      <c r="S410" s="286">
        <f>((J410-R410)/J410)*100%</f>
        <v>0.10206611610395898</v>
      </c>
      <c r="T410" s="260">
        <f>((I410-R410)/I410)*100%</f>
        <v>0.16080945430276544</v>
      </c>
      <c r="U410" s="261">
        <v>2.7349999999999999</v>
      </c>
      <c r="V410" s="239">
        <f>U410*$X$31</f>
        <v>3.2819999999999996</v>
      </c>
      <c r="W410" s="262">
        <f>V410*$R$33</f>
        <v>154.36230599999999</v>
      </c>
      <c r="X410" s="240">
        <f>(ROUND(W410/(1-$AB$407),0))</f>
        <v>203</v>
      </c>
      <c r="Y410" s="239">
        <f>Z410*(1-$X$405)</f>
        <v>194.03999999999996</v>
      </c>
      <c r="Z410" s="240">
        <f>ROUND(X410/(1-$X$404),0)</f>
        <v>441</v>
      </c>
      <c r="AA410" s="264">
        <f>((X410-W410)/X410)*100%</f>
        <v>0.23959455172413799</v>
      </c>
      <c r="AB410" s="241">
        <f>((Y410-W410)/Y410)*100%</f>
        <v>0.20448203463203454</v>
      </c>
      <c r="AC410" s="242">
        <f>((N410/Y410)-1)*100%</f>
        <v>8.4827870542156569E-2</v>
      </c>
      <c r="AD410" s="1004">
        <f>((N410*0.96-W410)/(N410*0.96))*100%</f>
        <v>0.23613269002375295</v>
      </c>
      <c r="AE410" s="261">
        <f>N410/$R$33</f>
        <v>4.4755809750600637</v>
      </c>
      <c r="AF410" s="239">
        <f>(V410/(1-$AB$407))</f>
        <v>4.318421052631578</v>
      </c>
      <c r="AG410" s="1886">
        <v>9.0500000000000007</v>
      </c>
      <c r="AH410" s="267">
        <f>((AF410-V410)/AF410)*100%</f>
        <v>0.23999999999999994</v>
      </c>
      <c r="AI410" s="506">
        <f>AJ410/$AJ$411</f>
        <v>0.12598479852844202</v>
      </c>
      <c r="AJ410" s="862">
        <f>VLOOKUP($B410,[1]Статистика!$B:$D,3,FALSE)</f>
        <v>3630</v>
      </c>
      <c r="AK410" s="859">
        <f>AJ410*Q410*S410</f>
        <v>1237.4700048676193</v>
      </c>
      <c r="AL410" s="506">
        <f>AK410/$AK$411</f>
        <v>-0.85485748820660301</v>
      </c>
      <c r="AM410" s="77">
        <f>AJ410/$AJ$442</f>
        <v>5.9756037335177044E-2</v>
      </c>
      <c r="AN410" s="65">
        <f>AK410/$AK$442</f>
        <v>0.22070986839654225</v>
      </c>
      <c r="AO410" s="13"/>
      <c r="AP410" s="13"/>
    </row>
    <row r="411" spans="1:42" ht="15.75" thickBot="1">
      <c r="A411" s="187"/>
      <c r="B411" s="413"/>
      <c r="C411" s="413"/>
      <c r="D411" s="414"/>
      <c r="E411" s="413"/>
      <c r="F411" s="414"/>
      <c r="G411" s="827"/>
      <c r="H411" s="785"/>
      <c r="I411" s="785"/>
      <c r="J411" s="897"/>
      <c r="K411" s="533"/>
      <c r="O411" s="2354" t="s">
        <v>1156</v>
      </c>
      <c r="P411" s="2354"/>
      <c r="Q411" s="2354"/>
      <c r="S411" s="364"/>
      <c r="T411" s="365"/>
      <c r="U411" s="366"/>
      <c r="V411" s="366"/>
      <c r="W411" s="366"/>
      <c r="X411" s="366"/>
      <c r="Y411" s="366"/>
      <c r="Z411" s="366"/>
      <c r="AA411" s="367"/>
      <c r="AB411" s="367"/>
      <c r="AC411" s="367"/>
      <c r="AD411" s="367">
        <f>AVERAGE(AD409:AD410)</f>
        <v>0.15910749213121808</v>
      </c>
      <c r="AE411" s="366"/>
      <c r="AF411" s="366"/>
      <c r="AG411" s="1872"/>
      <c r="AH411" s="367"/>
      <c r="AI411" s="512">
        <f>S409*AI409+S410*AI410</f>
        <v>-2.4120844683553994E-2</v>
      </c>
      <c r="AJ411" s="304">
        <f>SUM(AJ409:AJ410)</f>
        <v>28813</v>
      </c>
      <c r="AK411" s="514">
        <f>SUM(AK409:AK410)</f>
        <v>-1447.5746214304038</v>
      </c>
      <c r="AM411" s="307">
        <f>SUM(AM409:AM410)</f>
        <v>0.47431148863318351</v>
      </c>
      <c r="AN411" s="307">
        <f>SUM(AN409:AN410)</f>
        <v>-0.25818323105476593</v>
      </c>
      <c r="AO411" s="13"/>
      <c r="AP411" s="13"/>
    </row>
    <row r="412" spans="1:42">
      <c r="A412" s="187"/>
      <c r="B412" s="413"/>
      <c r="C412" s="413"/>
      <c r="D412" s="414"/>
      <c r="E412" s="413"/>
      <c r="F412" s="414"/>
      <c r="G412" s="827"/>
      <c r="H412" s="785"/>
      <c r="I412" s="785"/>
      <c r="J412" s="897"/>
      <c r="K412" s="533"/>
      <c r="O412" s="844">
        <v>1.78</v>
      </c>
      <c r="P412" s="1034"/>
      <c r="Q412" s="78">
        <f>O412*1.2</f>
        <v>2.1360000000000001</v>
      </c>
      <c r="S412" s="364"/>
      <c r="T412" s="364"/>
      <c r="U412" s="872"/>
      <c r="V412" s="872"/>
      <c r="W412" s="872"/>
      <c r="X412" s="872"/>
      <c r="Y412" s="872"/>
      <c r="Z412" s="872"/>
      <c r="AA412" s="364"/>
      <c r="AB412" s="364"/>
      <c r="AC412" s="364"/>
      <c r="AD412" s="364"/>
      <c r="AE412" s="872"/>
      <c r="AF412" s="872"/>
      <c r="AG412" s="1882"/>
      <c r="AH412" s="364"/>
      <c r="AI412" s="364"/>
      <c r="AJ412" s="1035"/>
      <c r="AK412" s="1036"/>
      <c r="AL412" s="584"/>
      <c r="AM412" s="1037"/>
      <c r="AN412" s="1037"/>
      <c r="AO412" s="13"/>
      <c r="AP412" s="13"/>
    </row>
    <row r="413" spans="1:42">
      <c r="A413" s="187"/>
      <c r="B413" s="413"/>
      <c r="C413" s="413"/>
      <c r="D413" s="414"/>
      <c r="E413" s="413"/>
      <c r="F413" s="414"/>
      <c r="G413" s="827"/>
      <c r="H413" s="785"/>
      <c r="I413" s="785"/>
      <c r="J413" s="897"/>
      <c r="K413" s="533"/>
      <c r="O413" s="844">
        <v>2.81</v>
      </c>
      <c r="P413" s="1038"/>
      <c r="Q413" s="78">
        <f>O413*1.2</f>
        <v>3.3719999999999999</v>
      </c>
      <c r="S413" s="364"/>
      <c r="T413" s="364"/>
      <c r="U413" s="872"/>
      <c r="V413" s="872"/>
      <c r="W413" s="872"/>
      <c r="X413" s="872"/>
      <c r="Y413" s="872"/>
      <c r="Z413" s="872"/>
      <c r="AA413" s="364"/>
      <c r="AB413" s="364"/>
      <c r="AC413" s="364"/>
      <c r="AD413" s="364"/>
      <c r="AE413" s="872"/>
      <c r="AF413" s="872"/>
      <c r="AG413" s="1882"/>
      <c r="AH413" s="364"/>
      <c r="AI413" s="364"/>
      <c r="AJ413" s="1035"/>
      <c r="AK413" s="1036"/>
      <c r="AL413" s="584"/>
      <c r="AM413" s="1037"/>
      <c r="AN413" s="1037"/>
      <c r="AO413" s="13"/>
      <c r="AP413" s="13"/>
    </row>
    <row r="414" spans="1:42" ht="15.75" thickBot="1">
      <c r="A414" s="149" t="s">
        <v>91</v>
      </c>
      <c r="C414" s="157" t="s">
        <v>92</v>
      </c>
      <c r="J414" s="532"/>
      <c r="K414" s="1850" t="s">
        <v>1254</v>
      </c>
      <c r="L414" s="1850"/>
      <c r="M414" s="1850"/>
      <c r="N414" s="898"/>
      <c r="O414" s="899"/>
      <c r="P414" s="459"/>
      <c r="T414" s="1851"/>
      <c r="U414" s="627"/>
      <c r="V414" s="627"/>
      <c r="W414" s="627"/>
      <c r="X414" s="627"/>
      <c r="Y414" s="627"/>
      <c r="Z414" s="627"/>
      <c r="AA414" s="614">
        <v>0.14000000000000001</v>
      </c>
      <c r="AB414" s="628">
        <v>0.32</v>
      </c>
      <c r="AC414" s="628"/>
      <c r="AD414" s="1851"/>
      <c r="AE414" s="188"/>
      <c r="AF414" s="188"/>
      <c r="AG414" s="1866"/>
      <c r="AH414" s="1851"/>
      <c r="AO414" s="13"/>
      <c r="AP414" s="13"/>
    </row>
    <row r="415" spans="1:42" ht="60.75" thickBot="1">
      <c r="A415" s="187"/>
      <c r="B415" s="369" t="s">
        <v>10</v>
      </c>
      <c r="C415" s="370" t="s">
        <v>11</v>
      </c>
      <c r="D415" s="370" t="s">
        <v>12</v>
      </c>
      <c r="E415" s="370" t="s">
        <v>13</v>
      </c>
      <c r="F415" s="370" t="s">
        <v>14</v>
      </c>
      <c r="G415" s="371" t="s">
        <v>15</v>
      </c>
      <c r="H415" s="372" t="s">
        <v>1090</v>
      </c>
      <c r="I415" s="372">
        <f>$C$12</f>
        <v>0.54</v>
      </c>
      <c r="J415" s="684">
        <f>$C$12</f>
        <v>0.54</v>
      </c>
      <c r="K415" s="548" t="s">
        <v>15</v>
      </c>
      <c r="L415" s="423" t="s">
        <v>12</v>
      </c>
      <c r="M415" s="196" t="s">
        <v>1091</v>
      </c>
      <c r="N415" s="549" t="s">
        <v>993</v>
      </c>
      <c r="O415" s="424" t="s">
        <v>1092</v>
      </c>
      <c r="P415" s="772" t="s">
        <v>1092</v>
      </c>
      <c r="Q415" s="200" t="s">
        <v>1093</v>
      </c>
      <c r="R415" s="201" t="s">
        <v>1094</v>
      </c>
      <c r="S415" s="350" t="s">
        <v>1095</v>
      </c>
      <c r="T415" s="203" t="s">
        <v>1095</v>
      </c>
      <c r="U415" s="204" t="s">
        <v>1096</v>
      </c>
      <c r="V415" s="205" t="s">
        <v>1093</v>
      </c>
      <c r="W415" s="206" t="s">
        <v>1094</v>
      </c>
      <c r="X415" s="207" t="s">
        <v>1097</v>
      </c>
      <c r="Y415" s="208">
        <f>$X$405</f>
        <v>0.56000000000000005</v>
      </c>
      <c r="Z415" s="207" t="s">
        <v>1098</v>
      </c>
      <c r="AA415" s="209" t="s">
        <v>1099</v>
      </c>
      <c r="AB415" s="209" t="s">
        <v>1100</v>
      </c>
      <c r="AC415" s="210" t="s">
        <v>1092</v>
      </c>
      <c r="AD415" s="211" t="s">
        <v>1101</v>
      </c>
      <c r="AE415" s="209" t="s">
        <v>1102</v>
      </c>
      <c r="AF415" s="208" t="s">
        <v>1103</v>
      </c>
      <c r="AG415" s="1867" t="s">
        <v>1104</v>
      </c>
      <c r="AH415" s="213" t="s">
        <v>1116</v>
      </c>
      <c r="AI415" s="220" t="s">
        <v>1106</v>
      </c>
      <c r="AJ415" s="483" t="s">
        <v>1107</v>
      </c>
      <c r="AK415" s="484" t="s">
        <v>1108</v>
      </c>
      <c r="AL415" s="221" t="s">
        <v>1109</v>
      </c>
      <c r="AM415" s="221" t="s">
        <v>1175</v>
      </c>
      <c r="AN415" s="221" t="s">
        <v>1176</v>
      </c>
      <c r="AO415" s="13"/>
      <c r="AP415" s="13"/>
    </row>
    <row r="416" spans="1:42" ht="16.5" thickBot="1">
      <c r="A416" s="271"/>
      <c r="B416" s="395" t="s">
        <v>345</v>
      </c>
      <c r="C416" s="223" t="s">
        <v>190</v>
      </c>
      <c r="D416" s="224">
        <v>225</v>
      </c>
      <c r="E416" s="223">
        <v>10</v>
      </c>
      <c r="F416" s="224">
        <v>80</v>
      </c>
      <c r="G416" s="396">
        <v>220</v>
      </c>
      <c r="H416" s="397">
        <f>G416*(1+$H$33)</f>
        <v>235.4</v>
      </c>
      <c r="I416" s="397">
        <f>H416-H416*$J$408</f>
        <v>108.28399999999999</v>
      </c>
      <c r="J416" s="1039">
        <f>G416-G416*$J$408</f>
        <v>101.19999999999999</v>
      </c>
      <c r="K416" s="321">
        <v>286</v>
      </c>
      <c r="L416" s="322">
        <v>204</v>
      </c>
      <c r="M416" s="385">
        <f>L416/D416*100%</f>
        <v>0.90666666666666662</v>
      </c>
      <c r="N416" s="382">
        <f>K416-(K416*$O$33)</f>
        <v>143</v>
      </c>
      <c r="O416" s="329">
        <f>((N416/J416)-1)*100%</f>
        <v>0.41304347826086962</v>
      </c>
      <c r="P416" s="438">
        <f>((N416/I416)-1)*100%</f>
        <v>0.32060138155221463</v>
      </c>
      <c r="Q416" s="326">
        <v>2.58</v>
      </c>
      <c r="R416" s="698">
        <f>Q412*$R$33</f>
        <v>100.46248800000001</v>
      </c>
      <c r="S416" s="259">
        <f>((J416-R416)/J416)*100%</f>
        <v>7.2876679841895374E-3</v>
      </c>
      <c r="T416" s="237">
        <f>((I416-R416)/I416)*100%</f>
        <v>7.2231465405784651E-2</v>
      </c>
      <c r="U416" s="238">
        <v>2.0539999999999998</v>
      </c>
      <c r="V416" s="239">
        <f>U416*$X$31</f>
        <v>2.4647999999999999</v>
      </c>
      <c r="W416" s="239">
        <f>V416*$R$33</f>
        <v>115.9269384</v>
      </c>
      <c r="X416" s="240">
        <f>(ROUND(W416/(1-$AA$414),0))</f>
        <v>135</v>
      </c>
      <c r="Y416" s="239">
        <f>Z416*(1-$X$405)</f>
        <v>128.91999999999999</v>
      </c>
      <c r="Z416" s="240">
        <f>ROUND(X416/(1-$X$404),0)</f>
        <v>293</v>
      </c>
      <c r="AA416" s="241">
        <f>((X416-W416)/X416)*100%</f>
        <v>0.14128193777777781</v>
      </c>
      <c r="AB416" s="241">
        <f>((Y416-W416)/Y416)*100%</f>
        <v>0.10078390940117896</v>
      </c>
      <c r="AC416" s="265">
        <f>((N416/Y416)-1)*100%</f>
        <v>0.10921501706484649</v>
      </c>
      <c r="AD416" s="1004">
        <f>((N416*0.96-W416)/(N416*0.96))*100%</f>
        <v>0.15554386363636366</v>
      </c>
      <c r="AE416" s="238">
        <f>N416/$R$33</f>
        <v>3.0404184296132502</v>
      </c>
      <c r="AF416" s="239">
        <f>(V416/(1-$AA$414))</f>
        <v>2.866046511627907</v>
      </c>
      <c r="AG416" s="1886">
        <v>6.17</v>
      </c>
      <c r="AH416" s="244">
        <f>((AF416-V416)/AF416)*100%</f>
        <v>0.14000000000000007</v>
      </c>
      <c r="AI416" s="506">
        <f>AJ416/$AJ$418</f>
        <v>0.52833864682961384</v>
      </c>
      <c r="AJ416" s="862">
        <f>VLOOKUP($B416,[1]Статистика!$B:$D,3,FALSE)</f>
        <v>8949</v>
      </c>
      <c r="AK416" s="859">
        <f>AJ416*Q416*S416</f>
        <v>168.26073923952143</v>
      </c>
      <c r="AL416" s="506">
        <f>AK416/$AK$418</f>
        <v>8.283895395154342E-2</v>
      </c>
      <c r="AM416" s="77">
        <f>AJ416/$AJ$442</f>
        <v>0.14731591683539927</v>
      </c>
      <c r="AN416" s="77">
        <f>AK416/$AK$442</f>
        <v>3.0010267293575706E-2</v>
      </c>
      <c r="AO416" s="13"/>
      <c r="AP416" s="13"/>
    </row>
    <row r="417" spans="1:42" ht="16.5" thickBot="1">
      <c r="A417" s="187"/>
      <c r="B417" s="359" t="s">
        <v>346</v>
      </c>
      <c r="C417" s="275" t="s">
        <v>192</v>
      </c>
      <c r="D417" s="276">
        <v>326</v>
      </c>
      <c r="E417" s="275">
        <v>6</v>
      </c>
      <c r="F417" s="276">
        <v>48</v>
      </c>
      <c r="G417" s="339">
        <v>370</v>
      </c>
      <c r="H417" s="867">
        <f>G417*(1+$H$33)</f>
        <v>395.90000000000003</v>
      </c>
      <c r="I417" s="867">
        <f>H417-H417*$J$408</f>
        <v>182.114</v>
      </c>
      <c r="J417" s="1040">
        <f>G417-G417*$J$408</f>
        <v>170.2</v>
      </c>
      <c r="K417" s="340">
        <v>497</v>
      </c>
      <c r="L417" s="341">
        <v>356</v>
      </c>
      <c r="M417" s="342">
        <f>L417/D417*100%</f>
        <v>1.0920245398773005</v>
      </c>
      <c r="N417" s="390">
        <f>K417-(K417*$O$33)</f>
        <v>248.5</v>
      </c>
      <c r="O417" s="363">
        <f>((N417/J417)-1)*100%</f>
        <v>0.4600470035252644</v>
      </c>
      <c r="P417" s="388">
        <f>((N417/I417)-1)*100%</f>
        <v>0.36452990983669564</v>
      </c>
      <c r="Q417" s="344">
        <v>3.42</v>
      </c>
      <c r="R417" s="698">
        <f>Q413*$R$33</f>
        <v>158.59527600000001</v>
      </c>
      <c r="S417" s="286">
        <f>((J417-R417)/J417)*100%</f>
        <v>6.8182867215040993E-2</v>
      </c>
      <c r="T417" s="260">
        <f>((I417-R417)/I417)*100%</f>
        <v>0.12914286655611315</v>
      </c>
      <c r="U417" s="261">
        <v>2.8730000000000002</v>
      </c>
      <c r="V417" s="239">
        <f>U417*$X$31</f>
        <v>3.4476</v>
      </c>
      <c r="W417" s="262">
        <f>V417*$R$33</f>
        <v>162.15097080000001</v>
      </c>
      <c r="X417" s="240">
        <f>(ROUND(W417/(1-$AB$414),0))</f>
        <v>238</v>
      </c>
      <c r="Y417" s="239">
        <f>Z417*(1-$X$405)</f>
        <v>227.47999999999996</v>
      </c>
      <c r="Z417" s="240">
        <f>ROUND(X417/(1-$X$404),0)</f>
        <v>517</v>
      </c>
      <c r="AA417" s="264">
        <f>((X417-W417)/X417)*100%</f>
        <v>0.31869339999999996</v>
      </c>
      <c r="AB417" s="241">
        <f>((Y417-W417)/Y417)*100%</f>
        <v>0.28718581501670459</v>
      </c>
      <c r="AC417" s="242">
        <f>((N417/Y417)-1)*100%</f>
        <v>9.2403727800246305E-2</v>
      </c>
      <c r="AD417" s="1004">
        <f>((N417*0.96-W417)/(N417*0.96))*100%</f>
        <v>0.32029271126760561</v>
      </c>
      <c r="AE417" s="261">
        <f>N417/$R$33</f>
        <v>5.2835243339782707</v>
      </c>
      <c r="AF417" s="239">
        <f>(V417/(1-$AB$414))</f>
        <v>5.07</v>
      </c>
      <c r="AG417" s="1887">
        <v>10.45</v>
      </c>
      <c r="AH417" s="267">
        <f>((AF417-V417)/AF417)*100%</f>
        <v>0.32000000000000006</v>
      </c>
      <c r="AI417" s="866">
        <f>AJ417/$AJ$418</f>
        <v>0.4716613531703861</v>
      </c>
      <c r="AJ417" s="864">
        <f>VLOOKUP($B417,[1]Статистика!$B:$D,3,FALSE)</f>
        <v>7989</v>
      </c>
      <c r="AK417" s="865">
        <f>AJ417*Q417*S417</f>
        <v>1862.9182075388917</v>
      </c>
      <c r="AL417" s="866">
        <f>AK417/$AK$418</f>
        <v>0.91716104604845661</v>
      </c>
      <c r="AM417" s="92">
        <f>AJ417/$AJ$442</f>
        <v>0.13151266729221195</v>
      </c>
      <c r="AN417" s="92">
        <f>AK417/$AK$442</f>
        <v>0.33226214033641666</v>
      </c>
      <c r="AO417" s="13"/>
      <c r="AP417" s="13"/>
    </row>
    <row r="418" spans="1:42" ht="15.75" thickBot="1">
      <c r="A418" s="187"/>
      <c r="B418" s="413"/>
      <c r="C418" s="413"/>
      <c r="D418" s="414"/>
      <c r="E418" s="413"/>
      <c r="F418" s="414"/>
      <c r="G418" s="827"/>
      <c r="H418" s="785"/>
      <c r="I418" s="785"/>
      <c r="J418" s="897"/>
      <c r="K418" s="533"/>
      <c r="P418" s="1041"/>
      <c r="S418" s="364"/>
      <c r="T418" s="365"/>
      <c r="U418" s="366"/>
      <c r="V418" s="366"/>
      <c r="W418" s="366"/>
      <c r="X418" s="366"/>
      <c r="Y418" s="366"/>
      <c r="Z418" s="366"/>
      <c r="AA418" s="367"/>
      <c r="AB418" s="367"/>
      <c r="AC418" s="367"/>
      <c r="AD418" s="367">
        <f>AVERAGE(AD416:AD417)</f>
        <v>0.23791828745198462</v>
      </c>
      <c r="AE418" s="366"/>
      <c r="AF418" s="366"/>
      <c r="AG418" s="1872"/>
      <c r="AH418" s="367"/>
      <c r="AI418" s="512">
        <f>S416*AI416+S417*AI417</f>
        <v>3.600958005499319E-2</v>
      </c>
      <c r="AJ418" s="304">
        <f>SUM(AJ416:AJ417)</f>
        <v>16938</v>
      </c>
      <c r="AK418" s="514">
        <f>SUM(AK416:AK417)</f>
        <v>2031.1789467784131</v>
      </c>
      <c r="AM418" s="307">
        <f>SUM(AM416:AM417)</f>
        <v>0.27882858412761125</v>
      </c>
      <c r="AN418" s="307">
        <f>SUM(AN416:AN417)</f>
        <v>0.36227240762999235</v>
      </c>
      <c r="AO418" s="13"/>
      <c r="AP418" s="13"/>
    </row>
    <row r="419" spans="1:42" ht="15.75" thickBot="1">
      <c r="A419" s="149" t="s">
        <v>93</v>
      </c>
      <c r="C419" s="157" t="s">
        <v>94</v>
      </c>
      <c r="J419" s="532"/>
      <c r="K419" s="1850" t="s">
        <v>1255</v>
      </c>
      <c r="L419" s="1850"/>
      <c r="M419" s="1850"/>
      <c r="N419" s="898"/>
      <c r="O419" s="899"/>
      <c r="P419" s="459"/>
      <c r="T419" s="1851"/>
      <c r="U419" s="627"/>
      <c r="V419" s="627"/>
      <c r="W419" s="627"/>
      <c r="X419" s="627"/>
      <c r="Y419" s="627"/>
      <c r="Z419" s="627"/>
      <c r="AA419" s="614">
        <v>0.35</v>
      </c>
      <c r="AB419" s="628"/>
      <c r="AC419" s="628"/>
      <c r="AD419" s="1851"/>
      <c r="AE419" s="188"/>
      <c r="AF419" s="188"/>
      <c r="AG419" s="1866"/>
      <c r="AH419" s="1851"/>
      <c r="AO419" s="13"/>
      <c r="AP419" s="13"/>
    </row>
    <row r="420" spans="1:42" ht="60.75" thickBot="1">
      <c r="A420" s="187"/>
      <c r="B420" s="369" t="s">
        <v>10</v>
      </c>
      <c r="C420" s="370" t="s">
        <v>11</v>
      </c>
      <c r="D420" s="370" t="s">
        <v>12</v>
      </c>
      <c r="E420" s="370" t="s">
        <v>13</v>
      </c>
      <c r="F420" s="370" t="s">
        <v>14</v>
      </c>
      <c r="G420" s="371" t="s">
        <v>15</v>
      </c>
      <c r="H420" s="372" t="s">
        <v>1090</v>
      </c>
      <c r="I420" s="372">
        <f>$C$12</f>
        <v>0.54</v>
      </c>
      <c r="J420" s="684">
        <f>$C$12</f>
        <v>0.54</v>
      </c>
      <c r="K420" s="548" t="s">
        <v>15</v>
      </c>
      <c r="L420" s="423" t="s">
        <v>12</v>
      </c>
      <c r="M420" s="196" t="s">
        <v>1091</v>
      </c>
      <c r="N420" s="549" t="s">
        <v>993</v>
      </c>
      <c r="O420" s="424" t="s">
        <v>1092</v>
      </c>
      <c r="P420" s="772" t="s">
        <v>1092</v>
      </c>
      <c r="Q420" s="200" t="s">
        <v>1093</v>
      </c>
      <c r="R420" s="201" t="s">
        <v>1094</v>
      </c>
      <c r="S420" s="350" t="s">
        <v>1095</v>
      </c>
      <c r="T420" s="203" t="s">
        <v>1095</v>
      </c>
      <c r="U420" s="204" t="s">
        <v>1096</v>
      </c>
      <c r="V420" s="205" t="s">
        <v>1093</v>
      </c>
      <c r="W420" s="206" t="s">
        <v>1094</v>
      </c>
      <c r="X420" s="207" t="s">
        <v>1097</v>
      </c>
      <c r="Y420" s="208">
        <f>$X$405</f>
        <v>0.56000000000000005</v>
      </c>
      <c r="Z420" s="207" t="s">
        <v>1098</v>
      </c>
      <c r="AA420" s="209" t="s">
        <v>1099</v>
      </c>
      <c r="AB420" s="209" t="s">
        <v>1100</v>
      </c>
      <c r="AC420" s="210" t="s">
        <v>1092</v>
      </c>
      <c r="AD420" s="211" t="s">
        <v>1101</v>
      </c>
      <c r="AE420" s="209" t="s">
        <v>1102</v>
      </c>
      <c r="AF420" s="208" t="s">
        <v>1103</v>
      </c>
      <c r="AG420" s="1867" t="s">
        <v>1104</v>
      </c>
      <c r="AH420" s="213" t="s">
        <v>1116</v>
      </c>
      <c r="AI420" s="220" t="s">
        <v>1106</v>
      </c>
      <c r="AJ420" s="483" t="s">
        <v>1107</v>
      </c>
      <c r="AK420" s="484" t="s">
        <v>1108</v>
      </c>
      <c r="AL420" s="221" t="s">
        <v>1109</v>
      </c>
      <c r="AM420" s="221" t="s">
        <v>1175</v>
      </c>
      <c r="AN420" s="221" t="s">
        <v>1176</v>
      </c>
      <c r="AO420" s="13"/>
      <c r="AP420" s="13"/>
    </row>
    <row r="421" spans="1:42" ht="15.75">
      <c r="A421" s="271"/>
      <c r="B421" s="395" t="s">
        <v>347</v>
      </c>
      <c r="C421" s="223" t="s">
        <v>190</v>
      </c>
      <c r="D421" s="224">
        <v>175</v>
      </c>
      <c r="E421" s="223">
        <v>12</v>
      </c>
      <c r="F421" s="224">
        <v>135</v>
      </c>
      <c r="G421" s="396">
        <v>254</v>
      </c>
      <c r="H421" s="397">
        <f>G421*(1+$H$33)</f>
        <v>271.78000000000003</v>
      </c>
      <c r="I421" s="397">
        <f>H421-H421*$J$408</f>
        <v>125.0188</v>
      </c>
      <c r="J421" s="1039">
        <f>G421-G421*$J$408</f>
        <v>116.84</v>
      </c>
      <c r="K421" s="254">
        <v>345</v>
      </c>
      <c r="L421" s="322">
        <v>204</v>
      </c>
      <c r="M421" s="335">
        <f>L421/D421*100%</f>
        <v>1.1657142857142857</v>
      </c>
      <c r="N421" s="382">
        <f>K421-(K421*$O$33)</f>
        <v>172.5</v>
      </c>
      <c r="O421" s="324">
        <f>((N421/J421)-1)*100%</f>
        <v>0.47637795275590555</v>
      </c>
      <c r="P421" s="325">
        <f>((N421/I421)-1)*100%</f>
        <v>0.37979247921112669</v>
      </c>
      <c r="Q421" s="326">
        <v>1.86</v>
      </c>
      <c r="R421" s="258">
        <f>Q421*$R$33</f>
        <v>87.481380000000001</v>
      </c>
      <c r="S421" s="259">
        <f>((J421-R421)/J421)*100%</f>
        <v>0.25127199589181787</v>
      </c>
      <c r="T421" s="237">
        <f>((I421-R421)/I421)*100%</f>
        <v>0.30025420176805406</v>
      </c>
      <c r="U421" s="238">
        <v>1.573</v>
      </c>
      <c r="V421" s="239">
        <f>U421*$X$31</f>
        <v>1.8875999999999999</v>
      </c>
      <c r="W421" s="239">
        <f>V421*$R$33</f>
        <v>88.779490800000005</v>
      </c>
      <c r="X421" s="240">
        <f>(ROUND(W421/(1-$AA$419),0))</f>
        <v>137</v>
      </c>
      <c r="Y421" s="239">
        <f>Z421*(1-$X$405)</f>
        <v>131.11999999999998</v>
      </c>
      <c r="Z421" s="240">
        <f>ROUND(X421/(1-$X$404),0)</f>
        <v>298</v>
      </c>
      <c r="AA421" s="241">
        <f>((X421-W421)/X421)*100%</f>
        <v>0.35197451970802918</v>
      </c>
      <c r="AB421" s="241">
        <f>((Y421-W421)/Y421)*100%</f>
        <v>0.32291419463087234</v>
      </c>
      <c r="AC421" s="265">
        <f>((N421/Y421)-1)*100%</f>
        <v>0.31558877364246518</v>
      </c>
      <c r="AD421" s="1004">
        <f>((N421*0.96-W421)/(N421*0.96))*100%</f>
        <v>0.46389196376811587</v>
      </c>
      <c r="AE421" s="238">
        <f>N421/$R$33</f>
        <v>3.6676376161418576</v>
      </c>
      <c r="AF421" s="239">
        <f>(V421/(1-$AA$419))</f>
        <v>2.9039999999999999</v>
      </c>
      <c r="AG421" s="1886">
        <v>6.4</v>
      </c>
      <c r="AH421" s="244">
        <f>((AF421-V421)/AF421)*100%</f>
        <v>0.35</v>
      </c>
      <c r="AI421" s="866">
        <f>AJ421/$AJ$423</f>
        <v>0.85025912449002095</v>
      </c>
      <c r="AJ421" s="864">
        <f>VLOOKUP($B421,[1]Статистика!$B:$D,3,FALSE)</f>
        <v>7711</v>
      </c>
      <c r="AK421" s="865">
        <f>AJ421*Q421*S421</f>
        <v>3603.8585501985622</v>
      </c>
      <c r="AL421" s="866">
        <f>AK421/$AK$423</f>
        <v>1.0992693054804776</v>
      </c>
      <c r="AM421" s="92">
        <f>AJ421/$AJ$442</f>
        <v>0.12693630961199731</v>
      </c>
      <c r="AN421" s="92">
        <f>AK421/$AK$442</f>
        <v>0.64276882930925539</v>
      </c>
      <c r="AO421" s="13"/>
      <c r="AP421" s="13"/>
    </row>
    <row r="422" spans="1:42" ht="16.5" thickBot="1">
      <c r="A422" s="187"/>
      <c r="B422" s="359" t="s">
        <v>348</v>
      </c>
      <c r="C422" s="275" t="s">
        <v>192</v>
      </c>
      <c r="D422" s="276">
        <v>250</v>
      </c>
      <c r="E422" s="275">
        <v>10</v>
      </c>
      <c r="F422" s="276">
        <v>90</v>
      </c>
      <c r="G422" s="339">
        <v>339</v>
      </c>
      <c r="H422" s="360">
        <f>G422*(1+$H$33)</f>
        <v>362.73</v>
      </c>
      <c r="I422" s="360">
        <f>H422-H422*$J$408</f>
        <v>166.85579999999999</v>
      </c>
      <c r="J422" s="887">
        <f>G422-G422*$J$408</f>
        <v>155.94</v>
      </c>
      <c r="K422" s="279">
        <v>488</v>
      </c>
      <c r="L422" s="341">
        <v>356</v>
      </c>
      <c r="M422" s="342">
        <f>L422/D422*100%</f>
        <v>1.4239999999999999</v>
      </c>
      <c r="N422" s="767">
        <f>K422-(K422*$O$33)</f>
        <v>244</v>
      </c>
      <c r="O422" s="363">
        <f>((N422/J422)-1)*100%</f>
        <v>0.56470437347697833</v>
      </c>
      <c r="P422" s="388">
        <f>((N422/I422)-1)*100%</f>
        <v>0.46234053595979296</v>
      </c>
      <c r="Q422" s="344">
        <v>3.54</v>
      </c>
      <c r="R422" s="285">
        <f>Q422*$R$33</f>
        <v>166.49682000000001</v>
      </c>
      <c r="S422" s="286">
        <f>((J422-R422)/J422)*100%</f>
        <v>-6.769796075413631E-2</v>
      </c>
      <c r="T422" s="260">
        <f>((I422-R422)/I422)*100%</f>
        <v>2.151438547536101E-3</v>
      </c>
      <c r="U422" s="261">
        <v>2.25</v>
      </c>
      <c r="V422" s="239">
        <f>U422*$X$31</f>
        <v>2.6999999999999997</v>
      </c>
      <c r="W422" s="262">
        <f>V422*$R$33</f>
        <v>126.98909999999999</v>
      </c>
      <c r="X422" s="240">
        <f>(ROUND(W422/(1-$AA$419),0))</f>
        <v>195</v>
      </c>
      <c r="Y422" s="239">
        <f>Z422*(1-$X$405)</f>
        <v>186.55999999999997</v>
      </c>
      <c r="Z422" s="240">
        <f>ROUND(X422/(1-$X$404),0)</f>
        <v>424</v>
      </c>
      <c r="AA422" s="264">
        <f>((X422-W422)/X422)*100%</f>
        <v>0.34877384615384621</v>
      </c>
      <c r="AB422" s="241">
        <f>((Y422-W422)/Y422)*100%</f>
        <v>0.31931228559176666</v>
      </c>
      <c r="AC422" s="242">
        <f>((N422/Y422)-1)*100%</f>
        <v>0.30789022298456281</v>
      </c>
      <c r="AD422" s="1004">
        <f>((N422*0.96-W422)/(N422*0.96))*100%</f>
        <v>0.45786757172131148</v>
      </c>
      <c r="AE422" s="261">
        <f>N422/$R$33</f>
        <v>5.1878468309484829</v>
      </c>
      <c r="AF422" s="239">
        <f>(V422/(1-$AA$419))</f>
        <v>4.1538461538461533</v>
      </c>
      <c r="AG422" s="1887">
        <v>9.5</v>
      </c>
      <c r="AH422" s="267">
        <f>((AF422-V422)/AF422)*100%</f>
        <v>0.35</v>
      </c>
      <c r="AI422" s="506">
        <f>AJ422/$AJ$423</f>
        <v>0.14974087550997905</v>
      </c>
      <c r="AJ422" s="862">
        <f>VLOOKUP($B422,[1]Статистика!$B:$D,3,FALSE)</f>
        <v>1358</v>
      </c>
      <c r="AK422" s="859">
        <f>AJ422*Q422*S422</f>
        <v>-325.44576069257454</v>
      </c>
      <c r="AL422" s="506">
        <f>AK422/$AK$423</f>
        <v>-9.9269305480477577E-2</v>
      </c>
      <c r="AM422" s="77">
        <f>AJ422/$AJ$442</f>
        <v>2.2355013416300393E-2</v>
      </c>
      <c r="AN422" s="77">
        <f>AK422/$AK$442</f>
        <v>-5.8045116835259987E-2</v>
      </c>
      <c r="AO422" s="13"/>
      <c r="AP422" s="13"/>
    </row>
    <row r="423" spans="1:42" ht="15.75" thickBot="1">
      <c r="A423" s="187"/>
      <c r="B423" s="413"/>
      <c r="C423" s="413"/>
      <c r="D423" s="414"/>
      <c r="E423" s="413"/>
      <c r="F423" s="414"/>
      <c r="G423" s="415"/>
      <c r="H423" s="416"/>
      <c r="I423" s="416"/>
      <c r="J423" s="1042"/>
      <c r="K423" s="815"/>
      <c r="L423" s="779"/>
      <c r="M423" s="816"/>
      <c r="N423" s="781"/>
      <c r="O423" s="817"/>
      <c r="P423" s="1043"/>
      <c r="S423" s="364"/>
      <c r="T423" s="365"/>
      <c r="U423" s="366"/>
      <c r="V423" s="366"/>
      <c r="W423" s="366"/>
      <c r="X423" s="366"/>
      <c r="Y423" s="366"/>
      <c r="Z423" s="366"/>
      <c r="AA423" s="367"/>
      <c r="AB423" s="367"/>
      <c r="AC423" s="367"/>
      <c r="AD423" s="367">
        <f>AVERAGE(AD421:AD422)</f>
        <v>0.46087976774471368</v>
      </c>
      <c r="AE423" s="366"/>
      <c r="AF423" s="366"/>
      <c r="AG423" s="1872"/>
      <c r="AH423" s="367"/>
      <c r="AI423" s="512">
        <f>S421*AI421+S422*AI422</f>
        <v>0.20350915532227262</v>
      </c>
      <c r="AJ423" s="304">
        <f>SUM(AJ421:AJ422)</f>
        <v>9069</v>
      </c>
      <c r="AK423" s="514">
        <f>SUM(AK421:AK422)</f>
        <v>3278.4127895059878</v>
      </c>
      <c r="AM423" s="307">
        <f>SUM(AM421:AM422)</f>
        <v>0.1492913230282977</v>
      </c>
      <c r="AN423" s="307">
        <f>SUM(AN421:AN422)</f>
        <v>0.58472371247399535</v>
      </c>
      <c r="AO423" s="13"/>
      <c r="AP423" s="13"/>
    </row>
    <row r="424" spans="1:42" ht="15.75" thickBot="1">
      <c r="A424" s="149" t="s">
        <v>95</v>
      </c>
      <c r="C424" s="157" t="s">
        <v>96</v>
      </c>
      <c r="J424" s="532"/>
      <c r="K424" s="1850" t="s">
        <v>1256</v>
      </c>
      <c r="L424" s="1850"/>
      <c r="M424" s="1850"/>
      <c r="N424" s="898"/>
      <c r="O424" s="899"/>
      <c r="P424" s="459"/>
      <c r="T424" s="1851"/>
      <c r="U424" s="627"/>
      <c r="V424" s="627"/>
      <c r="W424" s="627"/>
      <c r="X424" s="627"/>
      <c r="Y424" s="627"/>
      <c r="Z424" s="627"/>
      <c r="AA424" s="614">
        <v>0.35</v>
      </c>
      <c r="AB424" s="628"/>
      <c r="AC424" s="628"/>
      <c r="AD424" s="1851"/>
      <c r="AE424" s="188"/>
      <c r="AF424" s="188"/>
      <c r="AG424" s="1866"/>
      <c r="AH424" s="1851"/>
      <c r="AO424" s="13"/>
      <c r="AP424" s="13"/>
    </row>
    <row r="425" spans="1:42" ht="60.75" thickBot="1">
      <c r="A425" s="187"/>
      <c r="B425" s="369" t="s">
        <v>10</v>
      </c>
      <c r="C425" s="370" t="s">
        <v>11</v>
      </c>
      <c r="D425" s="370" t="s">
        <v>12</v>
      </c>
      <c r="E425" s="370" t="s">
        <v>13</v>
      </c>
      <c r="F425" s="370" t="s">
        <v>14</v>
      </c>
      <c r="G425" s="371" t="s">
        <v>15</v>
      </c>
      <c r="H425" s="1044" t="s">
        <v>1090</v>
      </c>
      <c r="I425" s="192">
        <f>$C$12</f>
        <v>0.54</v>
      </c>
      <c r="J425" s="873">
        <f>$C$12</f>
        <v>0.54</v>
      </c>
      <c r="K425" s="548" t="s">
        <v>15</v>
      </c>
      <c r="L425" s="423" t="s">
        <v>12</v>
      </c>
      <c r="M425" s="196" t="s">
        <v>1091</v>
      </c>
      <c r="N425" s="549" t="s">
        <v>993</v>
      </c>
      <c r="O425" s="424" t="s">
        <v>1092</v>
      </c>
      <c r="P425" s="772" t="s">
        <v>1092</v>
      </c>
      <c r="Q425" s="200" t="s">
        <v>1093</v>
      </c>
      <c r="R425" s="201" t="s">
        <v>1094</v>
      </c>
      <c r="S425" s="350" t="s">
        <v>1095</v>
      </c>
      <c r="T425" s="203" t="s">
        <v>1095</v>
      </c>
      <c r="U425" s="204" t="s">
        <v>1096</v>
      </c>
      <c r="V425" s="205" t="s">
        <v>1093</v>
      </c>
      <c r="W425" s="206" t="s">
        <v>1094</v>
      </c>
      <c r="X425" s="207" t="s">
        <v>1097</v>
      </c>
      <c r="Y425" s="208">
        <f>$X$405</f>
        <v>0.56000000000000005</v>
      </c>
      <c r="Z425" s="207" t="s">
        <v>1098</v>
      </c>
      <c r="AA425" s="209" t="s">
        <v>1099</v>
      </c>
      <c r="AB425" s="209" t="s">
        <v>1100</v>
      </c>
      <c r="AC425" s="210" t="s">
        <v>1092</v>
      </c>
      <c r="AD425" s="211" t="s">
        <v>1101</v>
      </c>
      <c r="AE425" s="209" t="s">
        <v>1102</v>
      </c>
      <c r="AF425" s="208" t="s">
        <v>1103</v>
      </c>
      <c r="AG425" s="1867" t="s">
        <v>1104</v>
      </c>
      <c r="AH425" s="213" t="s">
        <v>1116</v>
      </c>
      <c r="AI425" s="220" t="s">
        <v>1106</v>
      </c>
      <c r="AJ425" s="483" t="s">
        <v>1107</v>
      </c>
      <c r="AK425" s="484" t="s">
        <v>1108</v>
      </c>
      <c r="AL425" s="221" t="s">
        <v>1109</v>
      </c>
      <c r="AM425" s="221" t="s">
        <v>1175</v>
      </c>
      <c r="AN425" s="221" t="s">
        <v>1176</v>
      </c>
      <c r="AO425" s="13"/>
      <c r="AP425" s="13"/>
    </row>
    <row r="426" spans="1:42" ht="15.75">
      <c r="A426" s="271"/>
      <c r="B426" s="395" t="s">
        <v>349</v>
      </c>
      <c r="C426" s="223" t="s">
        <v>190</v>
      </c>
      <c r="D426" s="224">
        <v>170</v>
      </c>
      <c r="E426" s="223">
        <v>12</v>
      </c>
      <c r="F426" s="224">
        <v>120</v>
      </c>
      <c r="G426" s="396">
        <v>274</v>
      </c>
      <c r="H426" s="1027">
        <f>G426*(1+$H$33)</f>
        <v>293.18</v>
      </c>
      <c r="I426" s="1027">
        <f>H426-H426*$J$408</f>
        <v>134.86279999999999</v>
      </c>
      <c r="J426" s="1045">
        <f>G426-G426*$J$408</f>
        <v>126.03999999999999</v>
      </c>
      <c r="K426" s="1046">
        <v>371</v>
      </c>
      <c r="L426" s="322">
        <v>178</v>
      </c>
      <c r="M426" s="335">
        <f>L426/D426*100%</f>
        <v>1.0470588235294118</v>
      </c>
      <c r="N426" s="382">
        <f>K426-(K426*$O$33)</f>
        <v>185.5</v>
      </c>
      <c r="O426" s="324">
        <f>((N426/J426)-1)*100%</f>
        <v>0.47175499841320234</v>
      </c>
      <c r="P426" s="325">
        <f>((N426/I426)-1)*100%</f>
        <v>0.37547196113383396</v>
      </c>
      <c r="Q426" s="326">
        <v>2.17</v>
      </c>
      <c r="R426" s="258">
        <f>Q426*$R$33</f>
        <v>102.06161</v>
      </c>
      <c r="S426" s="259">
        <f>((J426-R426)/J426)*100%</f>
        <v>0.1902442875277689</v>
      </c>
      <c r="T426" s="237">
        <f>((I426-R426)/I426)*100%</f>
        <v>0.24321896030632609</v>
      </c>
      <c r="U426" s="238">
        <v>1.6339999999999999</v>
      </c>
      <c r="V426" s="239">
        <f>U426*$X$31</f>
        <v>1.9607999999999999</v>
      </c>
      <c r="W426" s="239">
        <f>V426*$R$33</f>
        <v>92.222306399999994</v>
      </c>
      <c r="X426" s="240">
        <f>(ROUND(W426/(1-$AA$419),0))</f>
        <v>142</v>
      </c>
      <c r="Y426" s="239">
        <f>Z426*(1-$X$405)</f>
        <v>135.95999999999998</v>
      </c>
      <c r="Z426" s="240">
        <f>ROUND(X426/(1-$X$404),0)</f>
        <v>309</v>
      </c>
      <c r="AA426" s="241">
        <f>((X426-W426)/X426)*100%</f>
        <v>0.35054713802816906</v>
      </c>
      <c r="AB426" s="241">
        <f>((Y426-W426)/Y426)*100%</f>
        <v>0.32169530450132389</v>
      </c>
      <c r="AC426" s="265">
        <f>((N426/Y426)-1)*100%</f>
        <v>0.36437187408061211</v>
      </c>
      <c r="AD426" s="1004">
        <f>((N426*0.96-W426)/(N426*0.96))*100%</f>
        <v>0.48212990566037733</v>
      </c>
      <c r="AE426" s="238">
        <f>N426/$R$33</f>
        <v>3.9440392915612441</v>
      </c>
      <c r="AF426" s="239">
        <f>(V426/(1-$AA$419))</f>
        <v>3.0166153846153843</v>
      </c>
      <c r="AG426" s="1886">
        <v>6.7</v>
      </c>
      <c r="AH426" s="244">
        <f>((AF426-V426)/AF426)*100%</f>
        <v>0.35</v>
      </c>
      <c r="AI426" s="866">
        <f>AJ426/$AJ$428</f>
        <v>0.64180867217816773</v>
      </c>
      <c r="AJ426" s="864">
        <f>VLOOKUP($B426,[1]Статистика!$B:$D,3,FALSE)</f>
        <v>3804</v>
      </c>
      <c r="AK426" s="865">
        <f>AJ426*Q426*S426</f>
        <v>1570.4057153697233</v>
      </c>
      <c r="AL426" s="866">
        <f>AK426/$AK$428</f>
        <v>0.90007217797693895</v>
      </c>
      <c r="AM426" s="92">
        <f>AJ426/$AJ$442</f>
        <v>6.2620376314879753E-2</v>
      </c>
      <c r="AN426" s="92">
        <f>AK426/$AK$442</f>
        <v>0.28009086071181827</v>
      </c>
      <c r="AO426" s="13"/>
      <c r="AP426" s="13"/>
    </row>
    <row r="427" spans="1:42" ht="16.5" thickBot="1">
      <c r="A427" s="187"/>
      <c r="B427" s="359" t="s">
        <v>350</v>
      </c>
      <c r="C427" s="275" t="s">
        <v>192</v>
      </c>
      <c r="D427" s="276">
        <v>273</v>
      </c>
      <c r="E427" s="275">
        <v>8</v>
      </c>
      <c r="F427" s="276">
        <v>96</v>
      </c>
      <c r="G427" s="339">
        <v>345</v>
      </c>
      <c r="H427" s="1031">
        <f>G427*(1+$H$33)</f>
        <v>369.15000000000003</v>
      </c>
      <c r="I427" s="1031">
        <f>H427-H427*$J$408</f>
        <v>169.809</v>
      </c>
      <c r="J427" s="1032">
        <f>G427-G427*$J$408</f>
        <v>158.69999999999999</v>
      </c>
      <c r="K427" s="1047">
        <v>511</v>
      </c>
      <c r="L427" s="341">
        <v>288</v>
      </c>
      <c r="M427" s="342">
        <f>L427/D427*100%</f>
        <v>1.054945054945055</v>
      </c>
      <c r="N427" s="390">
        <f>K427-(K427*$O$33)</f>
        <v>255.5</v>
      </c>
      <c r="O427" s="363">
        <f>((N427/J427)-1)*100%</f>
        <v>0.60995589161940789</v>
      </c>
      <c r="P427" s="388">
        <f>((N427/I427)-1)*100%</f>
        <v>0.50463167441066137</v>
      </c>
      <c r="Q427" s="344">
        <v>3.29</v>
      </c>
      <c r="R427" s="285">
        <f>Q427*$R$33</f>
        <v>154.73857000000001</v>
      </c>
      <c r="S427" s="286">
        <f>((J427-R427)/J427)*100%</f>
        <v>2.4961751732829104E-2</v>
      </c>
      <c r="T427" s="260">
        <f>((I427-R427)/I427)*100%</f>
        <v>8.8749300684887067E-2</v>
      </c>
      <c r="U427" s="261">
        <v>2.496</v>
      </c>
      <c r="V427" s="239">
        <f>U427*$X$31</f>
        <v>2.9952000000000001</v>
      </c>
      <c r="W427" s="262">
        <f>V427*$R$33</f>
        <v>140.8732416</v>
      </c>
      <c r="X427" s="240">
        <f>(ROUND(W427/(1-$AA$419),0))</f>
        <v>217</v>
      </c>
      <c r="Y427" s="239">
        <f>Z427*(1-$X$405)</f>
        <v>207.67999999999998</v>
      </c>
      <c r="Z427" s="240">
        <f>ROUND(X427/(1-$X$404),0)</f>
        <v>472</v>
      </c>
      <c r="AA427" s="264">
        <f>((X427-W427)/X427)*100%</f>
        <v>0.35081455483870966</v>
      </c>
      <c r="AB427" s="241">
        <f>((Y427-W427)/Y427)*100%</f>
        <v>0.32168123266563936</v>
      </c>
      <c r="AC427" s="242">
        <f>((N427/Y427)-1)*100%</f>
        <v>0.23025808936825909</v>
      </c>
      <c r="AD427" s="1004">
        <f>((N427*0.96-W427)/(N427*0.96))*100%</f>
        <v>0.42566356164383562</v>
      </c>
      <c r="AE427" s="261">
        <f>N427/$R$33</f>
        <v>5.4323560053579403</v>
      </c>
      <c r="AF427" s="239">
        <f>(V427/(1-$AA$419))</f>
        <v>4.6079999999999997</v>
      </c>
      <c r="AG427" s="1887">
        <v>10.3</v>
      </c>
      <c r="AH427" s="267">
        <f>((AF427-V427)/AF427)*100%</f>
        <v>0.34999999999999992</v>
      </c>
      <c r="AI427" s="857">
        <f>AJ427/$AJ$428</f>
        <v>0.35819132782183227</v>
      </c>
      <c r="AJ427" s="862">
        <f>VLOOKUP($B427,[1]Статистика!$B:$D,3,FALSE)</f>
        <v>2123</v>
      </c>
      <c r="AK427" s="859">
        <f>AJ427*Q427*S427</f>
        <v>174.34959847573947</v>
      </c>
      <c r="AL427" s="506">
        <f>AK427/$AK$428</f>
        <v>9.992782202306108E-2</v>
      </c>
      <c r="AM427" s="77">
        <f>AJ427/$AJ$442</f>
        <v>3.4948227896027785E-2</v>
      </c>
      <c r="AN427" s="77">
        <f>AK427/$AK$442</f>
        <v>3.109625023895992E-2</v>
      </c>
      <c r="AO427" s="13"/>
      <c r="AP427" s="13"/>
    </row>
    <row r="428" spans="1:42" ht="15.75" thickBot="1">
      <c r="A428" s="187"/>
      <c r="B428" s="413"/>
      <c r="C428" s="413"/>
      <c r="D428" s="414"/>
      <c r="E428" s="413"/>
      <c r="F428" s="414"/>
      <c r="G428" s="827"/>
      <c r="H428" s="785"/>
      <c r="I428" s="785"/>
      <c r="J428" s="897"/>
      <c r="K428" s="533"/>
      <c r="P428" s="1041"/>
      <c r="S428" s="364"/>
      <c r="T428" s="1048"/>
      <c r="U428" s="366"/>
      <c r="V428" s="366"/>
      <c r="W428" s="366"/>
      <c r="X428" s="366"/>
      <c r="Y428" s="366"/>
      <c r="Z428" s="366"/>
      <c r="AA428" s="367"/>
      <c r="AB428" s="367"/>
      <c r="AC428" s="367"/>
      <c r="AD428" s="367">
        <f>AVERAGE(AD426:AD427)</f>
        <v>0.45389673365210648</v>
      </c>
      <c r="AE428" s="366"/>
      <c r="AF428" s="366"/>
      <c r="AG428" s="1872"/>
      <c r="AH428" s="367"/>
      <c r="AI428" s="512">
        <f>S426*AI426+S427*AI427</f>
        <v>0.13104151656561988</v>
      </c>
      <c r="AJ428" s="304">
        <f>SUM(AJ426:AJ427)</f>
        <v>5927</v>
      </c>
      <c r="AK428" s="514">
        <f>SUM(AK426:AK427)</f>
        <v>1744.7553138454628</v>
      </c>
      <c r="AM428" s="307">
        <f>SUM(AM426:AM427)</f>
        <v>9.7568604210907545E-2</v>
      </c>
      <c r="AN428" s="307">
        <f>SUM(AN426:AN427)</f>
        <v>0.31118711095077817</v>
      </c>
      <c r="AO428" s="13"/>
      <c r="AP428" s="13"/>
    </row>
    <row r="429" spans="1:42" ht="27.75" customHeight="1" thickBot="1">
      <c r="A429" s="1049"/>
      <c r="B429" s="1050"/>
      <c r="C429" s="1050"/>
      <c r="D429" s="1051"/>
      <c r="E429" s="1050"/>
      <c r="F429" s="414"/>
      <c r="G429" s="827"/>
      <c r="H429" s="785"/>
      <c r="I429" s="785"/>
      <c r="J429" s="897"/>
      <c r="K429" s="1052"/>
      <c r="L429" s="1053"/>
      <c r="M429" s="1054"/>
      <c r="N429" s="1055"/>
      <c r="O429" s="1056"/>
      <c r="P429" s="131">
        <f>AVERAGE(P409:P410,P416:P417,P421:P422,P426:P427)</f>
        <v>0.35003584751171013</v>
      </c>
      <c r="R429" s="1856" t="s">
        <v>1133</v>
      </c>
      <c r="S429" s="615">
        <f>AVERAGE(S409:S410,S416:S417,S421:S422,S426:S427)</f>
        <v>6.6750834908546858E-2</v>
      </c>
      <c r="T429" s="1057">
        <f>AVERAGE(T409:T410,T416:T417,T421:T422,T426:T427)</f>
        <v>0.12780451860611858</v>
      </c>
      <c r="U429" s="17"/>
      <c r="V429" s="17"/>
      <c r="W429" s="17"/>
      <c r="X429" s="17"/>
      <c r="Y429" s="17"/>
      <c r="Z429" s="17"/>
      <c r="AE429" s="17"/>
      <c r="AF429" s="17"/>
      <c r="AG429" s="1"/>
      <c r="AO429" s="13"/>
      <c r="AP429" s="13"/>
    </row>
    <row r="430" spans="1:42" ht="17.25" customHeight="1" thickBot="1">
      <c r="A430" s="149" t="s">
        <v>966</v>
      </c>
      <c r="B430" s="2355" t="s">
        <v>960</v>
      </c>
      <c r="C430" s="2355"/>
      <c r="D430" s="2355"/>
      <c r="E430" s="2355"/>
      <c r="F430" s="2355"/>
      <c r="G430" s="2355"/>
      <c r="H430" s="1058"/>
      <c r="I430" s="785"/>
      <c r="J430" s="897"/>
      <c r="K430" s="1052"/>
      <c r="L430" s="1053"/>
      <c r="M430" s="1054"/>
      <c r="N430" s="1055"/>
      <c r="O430" s="1056"/>
      <c r="P430" s="1059"/>
      <c r="Q430" s="1060"/>
      <c r="R430" s="786"/>
      <c r="S430" s="1061"/>
      <c r="T430" s="1062"/>
      <c r="U430" s="1855"/>
      <c r="V430" s="1855"/>
      <c r="W430" s="1855"/>
      <c r="X430" s="1855"/>
      <c r="Y430" s="1855"/>
      <c r="Z430" s="1855"/>
      <c r="AA430" s="1063">
        <v>0.22</v>
      </c>
      <c r="AB430" s="1063"/>
      <c r="AC430" s="1063"/>
      <c r="AD430" s="1063"/>
      <c r="AE430" s="1064"/>
      <c r="AF430" s="1064"/>
      <c r="AG430" s="1888"/>
      <c r="AH430" s="1063"/>
      <c r="AO430" s="13"/>
      <c r="AP430" s="13"/>
    </row>
    <row r="431" spans="1:42" ht="18" customHeight="1" thickBot="1">
      <c r="A431" s="187"/>
      <c r="B431" s="629" t="s">
        <v>10</v>
      </c>
      <c r="C431" s="630" t="s">
        <v>11</v>
      </c>
      <c r="D431" s="631" t="s">
        <v>12</v>
      </c>
      <c r="E431" s="631" t="s">
        <v>13</v>
      </c>
      <c r="F431" s="370" t="s">
        <v>14</v>
      </c>
      <c r="G431" s="17"/>
      <c r="H431" s="1065" t="s">
        <v>1090</v>
      </c>
      <c r="I431" s="1066">
        <f>$C$12</f>
        <v>0.54</v>
      </c>
      <c r="J431" s="897"/>
      <c r="K431" s="548" t="s">
        <v>15</v>
      </c>
      <c r="L431" s="423" t="s">
        <v>12</v>
      </c>
      <c r="M431" s="196" t="s">
        <v>1091</v>
      </c>
      <c r="N431" s="549" t="s">
        <v>993</v>
      </c>
      <c r="O431" s="424" t="s">
        <v>1092</v>
      </c>
      <c r="P431" s="772" t="s">
        <v>1092</v>
      </c>
      <c r="Q431" s="200" t="s">
        <v>1093</v>
      </c>
      <c r="R431" s="201" t="s">
        <v>1094</v>
      </c>
      <c r="S431" s="350" t="s">
        <v>1095</v>
      </c>
      <c r="T431" s="203" t="s">
        <v>1095</v>
      </c>
      <c r="U431" s="204" t="s">
        <v>1096</v>
      </c>
      <c r="V431" s="205" t="s">
        <v>1093</v>
      </c>
      <c r="W431" s="206" t="s">
        <v>1094</v>
      </c>
      <c r="X431" s="207" t="s">
        <v>1097</v>
      </c>
      <c r="Y431" s="208">
        <f>$X$405</f>
        <v>0.56000000000000005</v>
      </c>
      <c r="Z431" s="207" t="s">
        <v>1098</v>
      </c>
      <c r="AA431" s="209" t="s">
        <v>1099</v>
      </c>
      <c r="AB431" s="209" t="s">
        <v>1100</v>
      </c>
      <c r="AC431" s="210" t="s">
        <v>1092</v>
      </c>
      <c r="AD431" s="211" t="s">
        <v>1101</v>
      </c>
      <c r="AE431" s="209" t="s">
        <v>1102</v>
      </c>
      <c r="AF431" s="208" t="s">
        <v>1103</v>
      </c>
      <c r="AG431" s="1867" t="s">
        <v>1104</v>
      </c>
      <c r="AH431" s="213" t="s">
        <v>1116</v>
      </c>
      <c r="AO431" s="13"/>
      <c r="AP431" s="13"/>
    </row>
    <row r="432" spans="1:42" ht="17.25" customHeight="1" thickBot="1">
      <c r="A432" s="187"/>
      <c r="B432" s="1067" t="s">
        <v>963</v>
      </c>
      <c r="C432" s="1068" t="s">
        <v>964</v>
      </c>
      <c r="D432" s="1069">
        <v>325</v>
      </c>
      <c r="E432" s="1070">
        <v>6</v>
      </c>
      <c r="F432" s="755">
        <v>48</v>
      </c>
      <c r="G432" s="17"/>
      <c r="H432" s="1071">
        <v>617</v>
      </c>
      <c r="I432" s="1072">
        <f>H432-H432*$I$431</f>
        <v>283.82</v>
      </c>
      <c r="J432" s="897"/>
      <c r="K432" s="1046">
        <v>455</v>
      </c>
      <c r="L432" s="322">
        <v>328</v>
      </c>
      <c r="M432" s="335">
        <f>L432/D432*100%</f>
        <v>1.0092307692307692</v>
      </c>
      <c r="N432" s="382">
        <f>K432-(K432*$O$33)</f>
        <v>227.5</v>
      </c>
      <c r="O432" s="324"/>
      <c r="P432" s="325">
        <f>((N432/I432)-1)*100%</f>
        <v>-0.19843562821506588</v>
      </c>
      <c r="Q432" s="326">
        <v>3.8099999999999996</v>
      </c>
      <c r="R432" s="258">
        <f>Q432*$R$33</f>
        <v>179.19573</v>
      </c>
      <c r="S432" s="259">
        <f>((I432-R432)/I432)*100%</f>
        <v>0.36862895497146075</v>
      </c>
      <c r="T432" s="237">
        <f>((I432-R432)/I432)*100%</f>
        <v>0.36862895497146075</v>
      </c>
      <c r="U432" s="238">
        <v>3.1749999999999998</v>
      </c>
      <c r="V432" s="239">
        <f>U432*$X$31</f>
        <v>3.8099999999999996</v>
      </c>
      <c r="W432" s="239">
        <f>V432*$R$33</f>
        <v>179.19573</v>
      </c>
      <c r="X432" s="240">
        <f>(ROUND(W432/(1-$AA$430),0))</f>
        <v>230</v>
      </c>
      <c r="Y432" s="239">
        <f>Z432*(1-$X$405)</f>
        <v>219.99999999999997</v>
      </c>
      <c r="Z432" s="240">
        <f>ROUND(X432/(1-$X$404),0)</f>
        <v>500</v>
      </c>
      <c r="AA432" s="241">
        <f>((X432-W432)/X432)*100%</f>
        <v>0.22088813043478261</v>
      </c>
      <c r="AB432" s="241">
        <f>((Y432-W432)/Y432)*100%</f>
        <v>0.18547395454545446</v>
      </c>
      <c r="AC432" s="265">
        <f>((N432/Y432)-1)*100%</f>
        <v>3.4090909090909172E-2</v>
      </c>
      <c r="AD432" s="1004">
        <f>((N432*0.96-W432)/(N432*0.96))*100%</f>
        <v>0.17950673076923079</v>
      </c>
      <c r="AE432" s="238">
        <f>N432/$R$33</f>
        <v>4.837029319839262</v>
      </c>
      <c r="AF432" s="239">
        <f>(V432/(1-$AA$436))</f>
        <v>4.8846153846153841</v>
      </c>
      <c r="AG432" s="1868">
        <v>10.62</v>
      </c>
      <c r="AH432" s="244">
        <f>((AF432-V432)/AF432)*100%</f>
        <v>0.22</v>
      </c>
      <c r="AO432" s="13"/>
      <c r="AP432" s="13"/>
    </row>
    <row r="433" spans="1:42" ht="21.75" customHeight="1">
      <c r="A433" s="187"/>
      <c r="B433" s="797"/>
      <c r="C433" s="783"/>
      <c r="D433" s="796"/>
      <c r="E433" s="797"/>
      <c r="F433" s="414"/>
      <c r="G433" s="1073"/>
      <c r="H433" s="1058"/>
      <c r="I433" s="785"/>
      <c r="J433" s="897"/>
      <c r="K433" s="1052"/>
      <c r="L433" s="1053"/>
      <c r="M433" s="1054"/>
      <c r="N433" s="1055"/>
      <c r="O433" s="1056"/>
      <c r="P433" s="1059"/>
      <c r="Q433" s="1060"/>
      <c r="R433" s="786"/>
      <c r="S433" s="1061"/>
      <c r="T433" s="1062"/>
      <c r="U433" s="1855"/>
      <c r="V433" s="1855"/>
      <c r="W433" s="1855"/>
      <c r="X433" s="1855"/>
      <c r="Y433" s="1855"/>
      <c r="Z433" s="1855"/>
      <c r="AA433" s="1063"/>
      <c r="AB433" s="1063"/>
      <c r="AC433" s="1063"/>
      <c r="AD433" s="1063"/>
      <c r="AE433" s="1064"/>
      <c r="AF433" s="1064"/>
      <c r="AG433" s="1888"/>
      <c r="AH433" s="1063"/>
      <c r="AO433" s="13"/>
      <c r="AP433" s="13"/>
    </row>
    <row r="434" spans="1:42" ht="20.25" customHeight="1">
      <c r="A434" s="187"/>
      <c r="B434" s="797"/>
      <c r="C434" s="783"/>
      <c r="D434" s="796"/>
      <c r="E434" s="797"/>
      <c r="F434" s="414"/>
      <c r="G434" s="1073"/>
      <c r="H434" s="1058"/>
      <c r="I434" s="785"/>
      <c r="J434" s="897"/>
      <c r="K434" s="1052"/>
      <c r="L434" s="1053"/>
      <c r="M434" s="1054"/>
      <c r="N434" s="1055"/>
      <c r="O434" s="1056"/>
      <c r="P434" s="1059"/>
      <c r="Q434" s="1060"/>
      <c r="R434" s="786"/>
      <c r="S434" s="1061"/>
      <c r="T434" s="1062"/>
      <c r="U434" s="1855"/>
      <c r="V434" s="1855"/>
      <c r="W434" s="1855"/>
      <c r="X434" s="1855"/>
      <c r="Y434" s="1855"/>
      <c r="Z434" s="1855"/>
      <c r="AA434" s="1063"/>
      <c r="AB434" s="1063"/>
      <c r="AC434" s="1063"/>
      <c r="AD434" s="1063"/>
      <c r="AE434" s="1064"/>
      <c r="AF434" s="1064"/>
      <c r="AG434" s="1888"/>
      <c r="AH434" s="1063"/>
      <c r="AO434" s="13"/>
      <c r="AP434" s="13"/>
    </row>
    <row r="435" spans="1:42" ht="18" customHeight="1">
      <c r="A435" s="187"/>
      <c r="B435" s="797"/>
      <c r="C435" s="783"/>
      <c r="D435" s="796"/>
      <c r="E435" s="797"/>
      <c r="F435" s="414"/>
      <c r="G435" s="784"/>
      <c r="H435" s="1058"/>
      <c r="I435" s="785"/>
      <c r="J435" s="897"/>
      <c r="K435" s="1052"/>
      <c r="L435" s="1053"/>
      <c r="M435" s="1054"/>
      <c r="N435" s="1055"/>
      <c r="O435" s="1056"/>
      <c r="P435" s="1059"/>
      <c r="Q435" s="1060"/>
      <c r="R435" s="786"/>
      <c r="S435" s="1061"/>
      <c r="T435" s="1062"/>
      <c r="U435" s="1855"/>
      <c r="V435" s="1855"/>
      <c r="W435" s="1855"/>
      <c r="X435" s="1855"/>
      <c r="Y435" s="1855"/>
      <c r="Z435" s="1855"/>
      <c r="AA435" s="1063"/>
      <c r="AB435" s="1063"/>
      <c r="AC435" s="1063"/>
      <c r="AD435" s="1063"/>
      <c r="AE435" s="1064"/>
      <c r="AF435" s="1064"/>
      <c r="AG435" s="1888"/>
      <c r="AH435" s="1063"/>
      <c r="AO435" s="13"/>
      <c r="AP435" s="13"/>
    </row>
    <row r="436" spans="1:42" ht="18" customHeight="1" thickBot="1">
      <c r="A436" s="149" t="s">
        <v>965</v>
      </c>
      <c r="B436" s="2355" t="s">
        <v>961</v>
      </c>
      <c r="C436" s="2355"/>
      <c r="D436" s="2355"/>
      <c r="E436" s="2355"/>
      <c r="F436" s="2355"/>
      <c r="G436" s="2355"/>
      <c r="H436" s="1058"/>
      <c r="I436" s="785"/>
      <c r="J436" s="897"/>
      <c r="K436" s="1052"/>
      <c r="L436" s="1053"/>
      <c r="M436" s="1054"/>
      <c r="N436" s="1055"/>
      <c r="O436" s="1056"/>
      <c r="P436" s="1059"/>
      <c r="Q436" s="1060"/>
      <c r="R436" s="786"/>
      <c r="S436" s="1061"/>
      <c r="T436" s="1062"/>
      <c r="U436" s="1855"/>
      <c r="V436" s="1855"/>
      <c r="W436" s="1855"/>
      <c r="X436" s="1855"/>
      <c r="Y436" s="1855"/>
      <c r="Z436" s="1855"/>
      <c r="AA436" s="1063">
        <v>0.22</v>
      </c>
      <c r="AB436" s="1063"/>
      <c r="AC436" s="1063"/>
      <c r="AD436" s="1063"/>
      <c r="AE436" s="1064"/>
      <c r="AF436" s="1064"/>
      <c r="AG436" s="1888"/>
      <c r="AH436" s="1063"/>
      <c r="AO436" s="13"/>
      <c r="AP436" s="13"/>
    </row>
    <row r="437" spans="1:42" ht="33" customHeight="1" thickBot="1">
      <c r="A437" s="187"/>
      <c r="B437" s="629" t="s">
        <v>10</v>
      </c>
      <c r="C437" s="630" t="s">
        <v>11</v>
      </c>
      <c r="D437" s="631" t="s">
        <v>12</v>
      </c>
      <c r="E437" s="631" t="s">
        <v>13</v>
      </c>
      <c r="F437" s="370" t="s">
        <v>14</v>
      </c>
      <c r="G437" s="17"/>
      <c r="H437" s="1065" t="s">
        <v>1090</v>
      </c>
      <c r="I437" s="1066">
        <f>$C$12</f>
        <v>0.54</v>
      </c>
      <c r="J437" s="897"/>
      <c r="K437" s="548" t="s">
        <v>15</v>
      </c>
      <c r="L437" s="423" t="s">
        <v>12</v>
      </c>
      <c r="M437" s="196" t="s">
        <v>1091</v>
      </c>
      <c r="N437" s="549" t="s">
        <v>993</v>
      </c>
      <c r="O437" s="424" t="s">
        <v>1092</v>
      </c>
      <c r="P437" s="772" t="s">
        <v>1092</v>
      </c>
      <c r="Q437" s="200" t="s">
        <v>1093</v>
      </c>
      <c r="R437" s="201" t="s">
        <v>1094</v>
      </c>
      <c r="S437" s="350" t="s">
        <v>1095</v>
      </c>
      <c r="T437" s="203" t="s">
        <v>1095</v>
      </c>
      <c r="U437" s="204" t="s">
        <v>1096</v>
      </c>
      <c r="V437" s="205" t="s">
        <v>1093</v>
      </c>
      <c r="W437" s="206" t="s">
        <v>1094</v>
      </c>
      <c r="X437" s="207" t="s">
        <v>1097</v>
      </c>
      <c r="Y437" s="208">
        <f>$X$405</f>
        <v>0.56000000000000005</v>
      </c>
      <c r="Z437" s="207" t="s">
        <v>1098</v>
      </c>
      <c r="AA437" s="209" t="s">
        <v>1099</v>
      </c>
      <c r="AB437" s="209" t="s">
        <v>1100</v>
      </c>
      <c r="AC437" s="210" t="s">
        <v>1092</v>
      </c>
      <c r="AD437" s="211" t="s">
        <v>1101</v>
      </c>
      <c r="AE437" s="209" t="s">
        <v>1102</v>
      </c>
      <c r="AF437" s="208" t="s">
        <v>1103</v>
      </c>
      <c r="AG437" s="1867" t="s">
        <v>1104</v>
      </c>
      <c r="AH437" s="213" t="s">
        <v>1116</v>
      </c>
      <c r="AO437" s="13"/>
      <c r="AP437" s="13"/>
    </row>
    <row r="438" spans="1:42" ht="19.5" customHeight="1" thickBot="1">
      <c r="A438" s="187"/>
      <c r="B438" s="1067" t="s">
        <v>962</v>
      </c>
      <c r="C438" s="1068" t="s">
        <v>964</v>
      </c>
      <c r="D438" s="1069">
        <v>344</v>
      </c>
      <c r="E438" s="1070">
        <v>6</v>
      </c>
      <c r="F438" s="755">
        <v>48</v>
      </c>
      <c r="G438" s="17"/>
      <c r="H438" s="1071">
        <v>624</v>
      </c>
      <c r="I438" s="1072">
        <f>H438-H438*$I$437</f>
        <v>287.03999999999996</v>
      </c>
      <c r="J438" s="897"/>
      <c r="K438" s="1046"/>
      <c r="L438" s="322"/>
      <c r="M438" s="335"/>
      <c r="N438" s="382"/>
      <c r="O438" s="324"/>
      <c r="P438" s="325"/>
      <c r="Q438" s="326">
        <v>4.08</v>
      </c>
      <c r="R438" s="258">
        <f>Q438*$R$33</f>
        <v>191.89464000000001</v>
      </c>
      <c r="S438" s="259">
        <f>((I438-R438)/I438)*100%</f>
        <v>0.33147073578595304</v>
      </c>
      <c r="T438" s="237">
        <f>((I438-R438)/I438)*100%</f>
        <v>0.33147073578595304</v>
      </c>
      <c r="U438" s="238">
        <v>3.4</v>
      </c>
      <c r="V438" s="239">
        <f>U438*$X$31</f>
        <v>4.08</v>
      </c>
      <c r="W438" s="239">
        <f>V438*$R$33</f>
        <v>191.89464000000001</v>
      </c>
      <c r="X438" s="240">
        <f>(ROUND(W438/(1-$AA$436),0))</f>
        <v>246</v>
      </c>
      <c r="Y438" s="239">
        <f>Z438*(1-$X$405)</f>
        <v>235.39999999999998</v>
      </c>
      <c r="Z438" s="240">
        <f>ROUND(X438/(1-$X$404),0)</f>
        <v>535</v>
      </c>
      <c r="AA438" s="241">
        <f>((X438-W438)/X438)*100%</f>
        <v>0.21994048780487802</v>
      </c>
      <c r="AB438" s="241">
        <f>((Y438-W438)/Y438)*100%</f>
        <v>0.18481461342395911</v>
      </c>
      <c r="AC438" s="265"/>
      <c r="AD438" s="1004"/>
      <c r="AE438" s="238">
        <f>N438/$R$33</f>
        <v>0</v>
      </c>
      <c r="AF438" s="239">
        <f>(V438/(1-$AA$436))</f>
        <v>5.2307692307692308</v>
      </c>
      <c r="AG438" s="1868">
        <v>11.37</v>
      </c>
      <c r="AH438" s="244">
        <f>((AF438-V438)/AF438)*100%</f>
        <v>0.22</v>
      </c>
      <c r="AO438" s="13"/>
      <c r="AP438" s="13"/>
    </row>
    <row r="439" spans="1:42" ht="20.25" customHeight="1" thickBot="1">
      <c r="A439" s="187"/>
      <c r="B439" s="797"/>
      <c r="C439" s="783"/>
      <c r="D439" s="796"/>
      <c r="E439" s="797"/>
      <c r="F439" s="414"/>
      <c r="G439" s="784"/>
      <c r="H439" s="1058"/>
      <c r="I439" s="785"/>
      <c r="J439" s="897"/>
      <c r="K439" s="1052"/>
      <c r="L439" s="1053"/>
      <c r="M439" s="1054"/>
      <c r="N439" s="1055"/>
      <c r="O439" s="1056"/>
      <c r="P439" s="1059"/>
      <c r="Q439" s="1060"/>
      <c r="R439" s="786"/>
      <c r="S439" s="1061"/>
      <c r="T439" s="1062"/>
      <c r="U439" s="1855"/>
      <c r="V439" s="1855"/>
      <c r="W439" s="1855"/>
      <c r="X439" s="1855"/>
      <c r="Y439" s="1855"/>
      <c r="Z439" s="1855"/>
      <c r="AA439" s="1063"/>
      <c r="AB439" s="1063"/>
      <c r="AC439" s="1063"/>
      <c r="AD439" s="1063"/>
      <c r="AE439" s="1064"/>
      <c r="AF439" s="1064"/>
      <c r="AG439" s="1888"/>
      <c r="AH439" s="1063"/>
      <c r="AO439" s="13"/>
      <c r="AP439" s="13"/>
    </row>
    <row r="440" spans="1:42" ht="25.5" customHeight="1" thickBot="1">
      <c r="A440" s="187"/>
      <c r="B440" s="797"/>
      <c r="C440" s="783"/>
      <c r="D440" s="796"/>
      <c r="E440" s="797"/>
      <c r="F440" s="414"/>
      <c r="G440" s="784"/>
      <c r="H440" s="1058"/>
      <c r="I440" s="785"/>
      <c r="J440" s="897"/>
      <c r="K440" s="1052"/>
      <c r="L440" s="1053"/>
      <c r="M440" s="1054"/>
      <c r="N440" s="1055"/>
      <c r="O440" s="1056"/>
      <c r="P440" s="1059"/>
      <c r="Q440" s="1060"/>
      <c r="R440" s="786"/>
      <c r="S440" s="1061"/>
      <c r="T440" s="1062"/>
      <c r="U440" s="2350" t="s">
        <v>1257</v>
      </c>
      <c r="V440" s="2331"/>
      <c r="W440" s="2331"/>
      <c r="X440" s="2331"/>
      <c r="Y440" s="2331"/>
      <c r="Z440" s="2351"/>
      <c r="AA440" s="952">
        <f>AVERAGE(AA409:AA410,AA416:AA417,AA421:AA422,AA426:AA427,AA432,AA438)</f>
        <v>0.26649190484375435</v>
      </c>
      <c r="AB440" s="952">
        <f>AVERAGE(AB409:AB410,AB416:AB417,AB421:AB422,AB426:AB427,AB432,AB438)</f>
        <v>0.23301107440658803</v>
      </c>
      <c r="AC440" s="952">
        <f>AVERAGE(AC409:AC410,AC416:AC417,AC421:AC422,AC426:AC427,AC432)</f>
        <v>0.17563005536624277</v>
      </c>
      <c r="AD440" s="952"/>
      <c r="AE440" s="953"/>
      <c r="AF440" s="953"/>
      <c r="AG440" s="1884"/>
      <c r="AH440" s="952">
        <f>AVERAGE(AH409:AH410,AH416:AH417,AH421:AH422,AH426:AH427,AH432,AH438)</f>
        <v>0.26600000000000007</v>
      </c>
      <c r="AO440" s="13"/>
      <c r="AP440" s="13"/>
    </row>
    <row r="441" spans="1:42" ht="16.5" thickBot="1">
      <c r="A441" s="1074" t="s">
        <v>97</v>
      </c>
      <c r="B441" s="1075"/>
      <c r="C441" s="1076"/>
      <c r="D441" s="1076"/>
      <c r="E441" s="1076"/>
      <c r="F441" s="158" t="s">
        <v>1077</v>
      </c>
      <c r="G441" s="1077"/>
      <c r="H441" s="1078"/>
      <c r="I441" s="1079"/>
      <c r="J441" s="1080"/>
      <c r="K441" s="533"/>
      <c r="AI441" s="2335" t="s">
        <v>1258</v>
      </c>
      <c r="AJ441" s="2336"/>
      <c r="AK441" s="2336"/>
      <c r="AL441" s="2336"/>
      <c r="AM441" s="2336"/>
      <c r="AN441" s="2337"/>
      <c r="AO441" s="13"/>
      <c r="AP441" s="13"/>
    </row>
    <row r="442" spans="1:42" ht="18.75">
      <c r="A442" s="749" t="s">
        <v>1</v>
      </c>
      <c r="E442" s="157"/>
      <c r="J442" s="532"/>
      <c r="K442" s="533"/>
      <c r="AI442" s="838">
        <f>AVERAGE(AI411,AI418,AI423,AI428)</f>
        <v>8.6609851814832925E-2</v>
      </c>
      <c r="AJ442" s="839">
        <f>SUM(AJ411,AJ418,AJ423,AJ428,AJ429)</f>
        <v>60747</v>
      </c>
      <c r="AK442" s="840">
        <f>SUM(AK411,AK418,AK423,AK428,AK429)</f>
        <v>5606.7724286994599</v>
      </c>
      <c r="AL442" s="841"/>
      <c r="AM442" s="842">
        <f>SUM(AM411,AM418,AM423,AM428,AM429)</f>
        <v>1</v>
      </c>
      <c r="AN442" s="842">
        <f>SUM(AN411,AN418,AN423,AN428,AN429)</f>
        <v>1</v>
      </c>
      <c r="AO442" s="13"/>
      <c r="AP442" s="13"/>
    </row>
    <row r="443" spans="1:42" ht="34.5" customHeight="1">
      <c r="A443" s="2323" t="s">
        <v>563</v>
      </c>
      <c r="B443" s="2323"/>
      <c r="C443" s="2323"/>
      <c r="D443" s="2323"/>
      <c r="E443" s="2323"/>
      <c r="F443" s="2323"/>
      <c r="G443" s="2323"/>
      <c r="H443" s="2323"/>
      <c r="I443" s="2323"/>
      <c r="J443" s="2323"/>
      <c r="K443" s="533"/>
      <c r="AO443" s="13"/>
      <c r="AP443" s="13"/>
    </row>
    <row r="444" spans="1:42">
      <c r="A444" s="749" t="s">
        <v>2</v>
      </c>
      <c r="B444" s="1846"/>
      <c r="E444" s="157"/>
      <c r="J444" s="532"/>
      <c r="K444" s="533"/>
      <c r="AO444" s="13"/>
      <c r="AP444" s="13"/>
    </row>
    <row r="445" spans="1:42">
      <c r="A445" s="187" t="s">
        <v>98</v>
      </c>
      <c r="E445" s="157"/>
      <c r="J445" s="532"/>
      <c r="K445" s="533"/>
      <c r="AO445" s="13"/>
      <c r="AP445" s="13"/>
    </row>
    <row r="446" spans="1:42">
      <c r="A446" s="187" t="s">
        <v>99</v>
      </c>
      <c r="E446" s="148" t="s">
        <v>100</v>
      </c>
      <c r="J446" s="532"/>
      <c r="K446" s="533"/>
      <c r="AO446" s="13"/>
      <c r="AP446" s="13"/>
    </row>
    <row r="447" spans="1:42">
      <c r="A447" s="2323" t="s">
        <v>101</v>
      </c>
      <c r="B447" s="2323"/>
      <c r="C447" s="2323"/>
      <c r="D447" s="2323"/>
      <c r="E447" s="2323"/>
      <c r="F447" s="2323"/>
      <c r="G447" s="2323"/>
      <c r="H447" s="2323"/>
      <c r="I447" s="2323"/>
      <c r="J447" s="2323"/>
      <c r="K447" s="533"/>
      <c r="AO447" s="13"/>
      <c r="AP447" s="13"/>
    </row>
    <row r="448" spans="1:42">
      <c r="A448" s="1840"/>
      <c r="B448" s="1846"/>
      <c r="C448" s="1846"/>
      <c r="D448" s="1846"/>
      <c r="E448" s="1846"/>
      <c r="F448" s="1846"/>
      <c r="G448" s="1846"/>
      <c r="H448" s="623"/>
      <c r="I448" s="624"/>
      <c r="J448" s="1081"/>
      <c r="K448" s="533"/>
      <c r="AO448" s="13"/>
      <c r="AP448" s="13"/>
    </row>
    <row r="449" spans="1:42">
      <c r="A449" s="749" t="s">
        <v>5</v>
      </c>
      <c r="B449" s="1846"/>
      <c r="E449" s="157"/>
      <c r="J449" s="532"/>
      <c r="K449" s="533"/>
      <c r="AO449" s="13"/>
      <c r="AP449" s="13"/>
    </row>
    <row r="450" spans="1:42">
      <c r="A450" s="751" t="s">
        <v>88</v>
      </c>
      <c r="B450" s="162"/>
      <c r="C450" s="148" t="s">
        <v>740</v>
      </c>
      <c r="E450" s="157"/>
      <c r="J450" s="532"/>
      <c r="K450" s="533"/>
      <c r="W450" s="1026" t="s">
        <v>1251</v>
      </c>
      <c r="X450" s="1026">
        <f>$C$13</f>
        <v>0.56999999999999995</v>
      </c>
      <c r="AO450" s="13"/>
      <c r="AP450" s="13"/>
    </row>
    <row r="451" spans="1:42">
      <c r="A451" s="751" t="s">
        <v>102</v>
      </c>
      <c r="B451" s="162"/>
      <c r="E451" s="157"/>
      <c r="J451" s="532"/>
      <c r="K451" s="533"/>
      <c r="W451" s="1026" t="s">
        <v>1252</v>
      </c>
      <c r="X451" s="1026">
        <v>0.6</v>
      </c>
      <c r="AO451" s="13"/>
      <c r="AP451" s="13"/>
    </row>
    <row r="452" spans="1:42">
      <c r="A452" s="751"/>
      <c r="B452" s="162"/>
      <c r="E452" s="157"/>
      <c r="J452" s="532"/>
      <c r="K452" s="533"/>
      <c r="AO452" s="13"/>
      <c r="AP452" s="13"/>
    </row>
    <row r="453" spans="1:42" ht="15.75" thickBot="1">
      <c r="A453" s="149" t="s">
        <v>103</v>
      </c>
      <c r="C453" s="157" t="s">
        <v>104</v>
      </c>
      <c r="J453" s="532"/>
      <c r="K453" s="2309" t="s">
        <v>1259</v>
      </c>
      <c r="L453" s="2309"/>
      <c r="M453" s="2309"/>
      <c r="N453" s="2309"/>
      <c r="O453" s="2309"/>
      <c r="P453" s="1852"/>
      <c r="U453" s="627"/>
      <c r="V453" s="627"/>
      <c r="W453" s="627"/>
      <c r="X453" s="627"/>
      <c r="Y453" s="627"/>
      <c r="Z453" s="627"/>
      <c r="AA453" s="614">
        <v>0.38</v>
      </c>
      <c r="AB453" s="628"/>
      <c r="AC453" s="628"/>
      <c r="AD453" s="1851"/>
      <c r="AE453" s="188"/>
      <c r="AF453" s="188"/>
      <c r="AG453" s="1866"/>
      <c r="AH453" s="1851"/>
      <c r="AO453" s="13"/>
      <c r="AP453" s="13"/>
    </row>
    <row r="454" spans="1:42" ht="60.75" thickBot="1">
      <c r="A454" s="187"/>
      <c r="B454" s="369" t="s">
        <v>10</v>
      </c>
      <c r="C454" s="370" t="s">
        <v>11</v>
      </c>
      <c r="D454" s="370" t="s">
        <v>12</v>
      </c>
      <c r="E454" s="370" t="s">
        <v>13</v>
      </c>
      <c r="F454" s="370" t="s">
        <v>14</v>
      </c>
      <c r="G454" s="1082" t="s">
        <v>15</v>
      </c>
      <c r="H454" s="1083" t="s">
        <v>1090</v>
      </c>
      <c r="I454" s="1084">
        <f>$C$13</f>
        <v>0.56999999999999995</v>
      </c>
      <c r="J454" s="1085">
        <f>$C$13</f>
        <v>0.56999999999999995</v>
      </c>
      <c r="K454" s="548" t="s">
        <v>15</v>
      </c>
      <c r="L454" s="423" t="s">
        <v>12</v>
      </c>
      <c r="M454" s="196" t="s">
        <v>1091</v>
      </c>
      <c r="N454" s="549" t="s">
        <v>993</v>
      </c>
      <c r="O454" s="424" t="s">
        <v>1092</v>
      </c>
      <c r="P454" s="772" t="s">
        <v>1092</v>
      </c>
      <c r="Q454" s="200" t="s">
        <v>1093</v>
      </c>
      <c r="R454" s="201" t="s">
        <v>1094</v>
      </c>
      <c r="S454" s="350" t="s">
        <v>1095</v>
      </c>
      <c r="T454" s="1086" t="s">
        <v>1095</v>
      </c>
      <c r="U454" s="204" t="s">
        <v>1096</v>
      </c>
      <c r="V454" s="205" t="s">
        <v>1093</v>
      </c>
      <c r="W454" s="206" t="s">
        <v>1094</v>
      </c>
      <c r="X454" s="207" t="s">
        <v>1097</v>
      </c>
      <c r="Y454" s="208">
        <f>$X$451</f>
        <v>0.6</v>
      </c>
      <c r="Z454" s="207" t="s">
        <v>1098</v>
      </c>
      <c r="AA454" s="209" t="s">
        <v>1099</v>
      </c>
      <c r="AB454" s="209" t="s">
        <v>1100</v>
      </c>
      <c r="AC454" s="210" t="s">
        <v>1092</v>
      </c>
      <c r="AD454" s="211" t="s">
        <v>1101</v>
      </c>
      <c r="AE454" s="209" t="s">
        <v>1102</v>
      </c>
      <c r="AF454" s="208" t="s">
        <v>1103</v>
      </c>
      <c r="AG454" s="1867" t="s">
        <v>1104</v>
      </c>
      <c r="AH454" s="213" t="s">
        <v>1116</v>
      </c>
      <c r="AI454" s="218" t="s">
        <v>1106</v>
      </c>
      <c r="AJ454" s="319" t="s">
        <v>1107</v>
      </c>
      <c r="AK454" s="320" t="s">
        <v>1108</v>
      </c>
      <c r="AL454" s="219" t="s">
        <v>1109</v>
      </c>
      <c r="AM454" s="219" t="s">
        <v>1175</v>
      </c>
      <c r="AN454" s="219" t="s">
        <v>1176</v>
      </c>
      <c r="AO454" s="13"/>
      <c r="AP454" s="13"/>
    </row>
    <row r="455" spans="1:42" ht="15.75">
      <c r="A455" s="271"/>
      <c r="B455" s="395" t="s">
        <v>351</v>
      </c>
      <c r="C455" s="223" t="s">
        <v>190</v>
      </c>
      <c r="D455" s="224">
        <v>210</v>
      </c>
      <c r="E455" s="223">
        <v>10</v>
      </c>
      <c r="F455" s="224">
        <v>90</v>
      </c>
      <c r="G455" s="396">
        <v>332</v>
      </c>
      <c r="H455" s="1027">
        <f>G455*(1+$H$33)</f>
        <v>355.24</v>
      </c>
      <c r="I455" s="1027">
        <f>H455-H455*$J$454</f>
        <v>152.75320000000002</v>
      </c>
      <c r="J455" s="1045">
        <f>G455-G455*$J$454</f>
        <v>142.76000000000002</v>
      </c>
      <c r="K455" s="1046">
        <v>483</v>
      </c>
      <c r="L455" s="322">
        <v>241</v>
      </c>
      <c r="M455" s="335">
        <f>L455/D455*100%</f>
        <v>1.1476190476190475</v>
      </c>
      <c r="N455" s="765">
        <f>K455-(K455*$O$33)</f>
        <v>241.5</v>
      </c>
      <c r="O455" s="329">
        <f>((N455/J455)-1)*100%</f>
        <v>0.69165032221910883</v>
      </c>
      <c r="P455" s="438">
        <f>((N455/I455)-1)*100%</f>
        <v>0.58098160955056888</v>
      </c>
      <c r="Q455" s="326">
        <v>2.4900000000000002</v>
      </c>
      <c r="R455" s="258">
        <f>Q455*$R$33</f>
        <v>117.11217000000001</v>
      </c>
      <c r="S455" s="259">
        <f>((J455-R455)/J455)*100%</f>
        <v>0.17965697674418613</v>
      </c>
      <c r="T455" s="325">
        <f>((I455-R455)/I455)*100%</f>
        <v>0.23332427733101507</v>
      </c>
      <c r="U455" s="238">
        <v>2.1040000000000001</v>
      </c>
      <c r="V455" s="239">
        <f>U455*$X$31</f>
        <v>2.5247999999999999</v>
      </c>
      <c r="W455" s="239">
        <f>V455*$R$33</f>
        <v>118.74891839999999</v>
      </c>
      <c r="X455" s="240">
        <f>(ROUND(W455/(1-$AA$453),0))</f>
        <v>192</v>
      </c>
      <c r="Y455" s="239">
        <f>Z455*(1-$X$451)</f>
        <v>178.8</v>
      </c>
      <c r="Z455" s="240">
        <f>ROUND(X455/(1-$X$450),0)</f>
        <v>447</v>
      </c>
      <c r="AA455" s="241">
        <f>((X455-W455)/X455)*100%</f>
        <v>0.38151605000000005</v>
      </c>
      <c r="AB455" s="241">
        <f>((Y455-W455)/Y455)*100%</f>
        <v>0.3358561610738256</v>
      </c>
      <c r="AC455" s="265">
        <f>((N455/Y455)-1)*100%</f>
        <v>0.35067114093959728</v>
      </c>
      <c r="AD455" s="1004">
        <f>((N455*0.96-W455)/(N455*0.96))*100%</f>
        <v>0.48779797101449279</v>
      </c>
      <c r="AE455" s="238">
        <f>N455/$R$33</f>
        <v>5.1346926625986011</v>
      </c>
      <c r="AF455" s="239">
        <f>(V455/(1-$AA$453))</f>
        <v>4.072258064516129</v>
      </c>
      <c r="AG455" s="1886">
        <v>9.3000000000000007</v>
      </c>
      <c r="AH455" s="244">
        <f>((AF455-V455)/AF455)*100%</f>
        <v>0.38</v>
      </c>
      <c r="AI455" s="652">
        <f>AJ455/$AJ$457</f>
        <v>0.84201954397394141</v>
      </c>
      <c r="AJ455" s="1087">
        <f>VLOOKUP($B455,[1]Статистика!$B:$D,3,FALSE)</f>
        <v>4136</v>
      </c>
      <c r="AK455" s="1088">
        <f>AJ455*Q455*S455</f>
        <v>1850.2225269767453</v>
      </c>
      <c r="AL455" s="652">
        <f>AK455/$AK$457</f>
        <v>1.0271934422487212</v>
      </c>
      <c r="AM455" s="50">
        <f>AJ455/$AJ$469</f>
        <v>0.26155694681591096</v>
      </c>
      <c r="AN455" s="50">
        <f>AK455/$AK$469</f>
        <v>0.21400914671404292</v>
      </c>
      <c r="AO455" s="13"/>
      <c r="AP455" s="13"/>
    </row>
    <row r="456" spans="1:42" ht="16.5" thickBot="1">
      <c r="A456" s="187"/>
      <c r="B456" s="359" t="s">
        <v>352</v>
      </c>
      <c r="C456" s="275" t="s">
        <v>192</v>
      </c>
      <c r="D456" s="276">
        <v>276</v>
      </c>
      <c r="E456" s="275">
        <v>10</v>
      </c>
      <c r="F456" s="276">
        <v>70</v>
      </c>
      <c r="G456" s="339">
        <v>434</v>
      </c>
      <c r="H456" s="1031">
        <f>G456*(1+$H$33)</f>
        <v>464.38000000000005</v>
      </c>
      <c r="I456" s="1031">
        <f>H456-H456*$J$454</f>
        <v>199.68340000000006</v>
      </c>
      <c r="J456" s="1032">
        <f>G456-G456*$J$454</f>
        <v>186.62000000000003</v>
      </c>
      <c r="K456" s="1047">
        <v>663</v>
      </c>
      <c r="L456" s="341">
        <v>332</v>
      </c>
      <c r="M456" s="342">
        <f>L456/D456*100%</f>
        <v>1.2028985507246377</v>
      </c>
      <c r="N456" s="767">
        <f>K456-(K456*$O$33)</f>
        <v>331.5</v>
      </c>
      <c r="O456" s="363">
        <f>((N456/J456)-1)*100%</f>
        <v>0.77633694137820131</v>
      </c>
      <c r="P456" s="388">
        <f>((N456/I456)-1)*100%</f>
        <v>0.66012798259644967</v>
      </c>
      <c r="Q456" s="344">
        <v>4.03</v>
      </c>
      <c r="R456" s="285">
        <f>Q456*$R$33</f>
        <v>189.54299</v>
      </c>
      <c r="S456" s="286">
        <f>((J456-R456)/J456)*100%</f>
        <v>-1.5662790697674258E-2</v>
      </c>
      <c r="T456" s="1089">
        <f>((I456-R456)/I456)*100%</f>
        <v>5.0782438600304562E-2</v>
      </c>
      <c r="U456" s="261">
        <v>2.7410000000000001</v>
      </c>
      <c r="V456" s="239">
        <f>U456*$X$31</f>
        <v>3.2892000000000001</v>
      </c>
      <c r="W456" s="262">
        <f>V456*$R$33</f>
        <v>154.70094360000002</v>
      </c>
      <c r="X456" s="240">
        <f>(ROUND(W456/(1-$AA$453),0))</f>
        <v>250</v>
      </c>
      <c r="Y456" s="239">
        <f>Z456*(1-$X$451)</f>
        <v>232.4</v>
      </c>
      <c r="Z456" s="240">
        <f>ROUND(X456/(1-$X$450),0)</f>
        <v>581</v>
      </c>
      <c r="AA456" s="264">
        <f>((X456-W456)/X456)*100%</f>
        <v>0.38119622559999994</v>
      </c>
      <c r="AB456" s="241">
        <f>((Y456-W456)/Y456)*100%</f>
        <v>0.33433328915662647</v>
      </c>
      <c r="AC456" s="242">
        <f>((N456/Y456)-1)*100%</f>
        <v>0.42641996557659212</v>
      </c>
      <c r="AD456" s="1004">
        <f>((N456*0.96-W456)/(N456*0.96))*100%</f>
        <v>0.5138859238310709</v>
      </c>
      <c r="AE456" s="261">
        <f>N456/$R$33</f>
        <v>7.0482427231943525</v>
      </c>
      <c r="AF456" s="239">
        <f>(V456/(1-$AA$453))</f>
        <v>5.3051612903225811</v>
      </c>
      <c r="AG456" s="1886">
        <v>12.2</v>
      </c>
      <c r="AH456" s="267">
        <f>((AF456-V456)/AF456)*100%</f>
        <v>0.38</v>
      </c>
      <c r="AI456" s="664">
        <f>AJ456/$AJ$457</f>
        <v>0.15798045602605862</v>
      </c>
      <c r="AJ456" s="944">
        <f>VLOOKUP($B456,[1]Статистика!$B:$D,3,FALSE)</f>
        <v>776</v>
      </c>
      <c r="AK456" s="859">
        <f>AJ456*Q456*S456</f>
        <v>-48.981932093022756</v>
      </c>
      <c r="AL456" s="664">
        <f>AK456/$AK$457</f>
        <v>-2.7193442248721215E-2</v>
      </c>
      <c r="AM456" s="334">
        <f>AJ456/$AJ$469</f>
        <v>4.9073547081515206E-2</v>
      </c>
      <c r="AN456" s="334">
        <f>AK456/$AK$469</f>
        <v>-5.6655787824405552E-3</v>
      </c>
      <c r="AO456" s="13"/>
      <c r="AP456" s="13"/>
    </row>
    <row r="457" spans="1:42" ht="15.75" thickBot="1">
      <c r="A457" s="187"/>
      <c r="B457" s="413"/>
      <c r="C457" s="413"/>
      <c r="D457" s="414"/>
      <c r="E457" s="413"/>
      <c r="F457" s="414"/>
      <c r="G457" s="827"/>
      <c r="H457" s="785"/>
      <c r="I457" s="785"/>
      <c r="J457" s="897"/>
      <c r="K457" s="533"/>
      <c r="P457" s="1090"/>
      <c r="Q457" s="1091"/>
      <c r="R457" s="1092"/>
      <c r="S457" s="364"/>
      <c r="T457" s="365"/>
      <c r="U457" s="366"/>
      <c r="V457" s="366"/>
      <c r="W457" s="366"/>
      <c r="X457" s="366"/>
      <c r="Y457" s="366"/>
      <c r="Z457" s="366"/>
      <c r="AA457" s="367"/>
      <c r="AB457" s="367"/>
      <c r="AC457" s="367"/>
      <c r="AD457" s="367">
        <f>AVERAGE(AD455:AD456)</f>
        <v>0.50084194742278187</v>
      </c>
      <c r="AE457" s="366"/>
      <c r="AF457" s="366"/>
      <c r="AG457" s="1872"/>
      <c r="AH457" s="367"/>
      <c r="AI457" s="512">
        <f>S455*AI455+S456*AI456</f>
        <v>0.1488002708128173</v>
      </c>
      <c r="AJ457" s="513">
        <f>SUM(AJ455:AJ456)</f>
        <v>4912</v>
      </c>
      <c r="AK457" s="514">
        <f>SUM(AK455:AK456)</f>
        <v>1801.2405948837225</v>
      </c>
      <c r="AM457" s="307">
        <f>SUM(AM455:AM456)</f>
        <v>0.31063049389742614</v>
      </c>
      <c r="AN457" s="307">
        <f>SUM(AN455:AN456)</f>
        <v>0.20834356793160236</v>
      </c>
      <c r="AO457" s="13"/>
      <c r="AP457" s="13"/>
    </row>
    <row r="458" spans="1:42" ht="15.75" thickBot="1">
      <c r="A458" s="149" t="s">
        <v>105</v>
      </c>
      <c r="C458" s="157" t="s">
        <v>106</v>
      </c>
      <c r="J458" s="532"/>
      <c r="K458" s="1850" t="s">
        <v>1260</v>
      </c>
      <c r="L458" s="1850"/>
      <c r="M458" s="1850"/>
      <c r="N458" s="898"/>
      <c r="O458" s="899"/>
      <c r="P458" s="459"/>
      <c r="U458" s="627"/>
      <c r="V458" s="627"/>
      <c r="W458" s="627"/>
      <c r="X458" s="627"/>
      <c r="Y458" s="627"/>
      <c r="Z458" s="627"/>
      <c r="AA458" s="614">
        <v>0.38</v>
      </c>
      <c r="AB458" s="628"/>
      <c r="AC458" s="628"/>
      <c r="AD458" s="1851"/>
      <c r="AE458" s="188"/>
      <c r="AF458" s="188"/>
      <c r="AG458" s="1866"/>
      <c r="AH458" s="1851"/>
      <c r="AO458" s="13"/>
      <c r="AP458" s="13"/>
    </row>
    <row r="459" spans="1:42" ht="60.75" thickBot="1">
      <c r="A459" s="187"/>
      <c r="B459" s="369" t="s">
        <v>10</v>
      </c>
      <c r="C459" s="370" t="s">
        <v>11</v>
      </c>
      <c r="D459" s="370" t="s">
        <v>12</v>
      </c>
      <c r="E459" s="370" t="s">
        <v>13</v>
      </c>
      <c r="F459" s="370" t="s">
        <v>14</v>
      </c>
      <c r="G459" s="1082" t="s">
        <v>15</v>
      </c>
      <c r="H459" s="1083" t="s">
        <v>1090</v>
      </c>
      <c r="I459" s="1093">
        <f>$C$13</f>
        <v>0.56999999999999995</v>
      </c>
      <c r="J459" s="1085">
        <f>$C$13</f>
        <v>0.56999999999999995</v>
      </c>
      <c r="K459" s="548" t="s">
        <v>15</v>
      </c>
      <c r="L459" s="423" t="s">
        <v>12</v>
      </c>
      <c r="M459" s="196" t="s">
        <v>1091</v>
      </c>
      <c r="N459" s="549" t="s">
        <v>993</v>
      </c>
      <c r="O459" s="424" t="s">
        <v>1092</v>
      </c>
      <c r="P459" s="772" t="s">
        <v>1092</v>
      </c>
      <c r="Q459" s="200" t="s">
        <v>1093</v>
      </c>
      <c r="R459" s="201" t="s">
        <v>1094</v>
      </c>
      <c r="S459" s="350" t="s">
        <v>1095</v>
      </c>
      <c r="T459" s="1086" t="s">
        <v>1095</v>
      </c>
      <c r="U459" s="204" t="s">
        <v>1096</v>
      </c>
      <c r="V459" s="205" t="s">
        <v>1093</v>
      </c>
      <c r="W459" s="206" t="s">
        <v>1094</v>
      </c>
      <c r="X459" s="207" t="s">
        <v>1097</v>
      </c>
      <c r="Y459" s="208">
        <f>$X$451</f>
        <v>0.6</v>
      </c>
      <c r="Z459" s="207" t="s">
        <v>1098</v>
      </c>
      <c r="AA459" s="209" t="s">
        <v>1099</v>
      </c>
      <c r="AB459" s="209" t="s">
        <v>1100</v>
      </c>
      <c r="AC459" s="210" t="s">
        <v>1092</v>
      </c>
      <c r="AD459" s="211" t="s">
        <v>1101</v>
      </c>
      <c r="AE459" s="209" t="s">
        <v>1102</v>
      </c>
      <c r="AF459" s="208" t="s">
        <v>1103</v>
      </c>
      <c r="AG459" s="1867" t="s">
        <v>1104</v>
      </c>
      <c r="AH459" s="213" t="s">
        <v>1116</v>
      </c>
      <c r="AI459" s="218" t="s">
        <v>1106</v>
      </c>
      <c r="AJ459" s="319" t="s">
        <v>1107</v>
      </c>
      <c r="AK459" s="320" t="s">
        <v>1108</v>
      </c>
      <c r="AL459" s="219" t="s">
        <v>1109</v>
      </c>
      <c r="AM459" s="219" t="s">
        <v>1175</v>
      </c>
      <c r="AN459" s="219" t="s">
        <v>1176</v>
      </c>
      <c r="AO459" s="13"/>
      <c r="AP459" s="13"/>
    </row>
    <row r="460" spans="1:42" ht="15.75">
      <c r="A460" s="271"/>
      <c r="B460" s="395" t="s">
        <v>353</v>
      </c>
      <c r="C460" s="223" t="s">
        <v>190</v>
      </c>
      <c r="D460" s="224">
        <v>206</v>
      </c>
      <c r="E460" s="223">
        <v>10</v>
      </c>
      <c r="F460" s="224">
        <v>100</v>
      </c>
      <c r="G460" s="396">
        <v>355</v>
      </c>
      <c r="H460" s="1027">
        <f>G460*(1+$H$33)</f>
        <v>379.85</v>
      </c>
      <c r="I460" s="1027">
        <f>H460-H460*$J$454</f>
        <v>163.33550000000002</v>
      </c>
      <c r="J460" s="1045">
        <f>G460-G460*$J$454</f>
        <v>152.65</v>
      </c>
      <c r="K460" s="1094">
        <v>516</v>
      </c>
      <c r="L460" s="322">
        <v>220</v>
      </c>
      <c r="M460" s="335">
        <f>L460/D460*100%</f>
        <v>1.0679611650485437</v>
      </c>
      <c r="N460" s="765">
        <f>K460-(K460*$O$33)</f>
        <v>258</v>
      </c>
      <c r="O460" s="329">
        <f>((N460/J460)-1)*100%</f>
        <v>0.6901408450704225</v>
      </c>
      <c r="P460" s="438">
        <f>((N460/I460)-1)*100%</f>
        <v>0.57957088324338524</v>
      </c>
      <c r="Q460" s="326">
        <v>2.5299999999999998</v>
      </c>
      <c r="R460" s="258">
        <f>Q460*$R$33</f>
        <v>118.99348999999999</v>
      </c>
      <c r="S460" s="259">
        <f>((J460-R460)/J460)*100%</f>
        <v>0.22048155912217499</v>
      </c>
      <c r="T460" s="325">
        <f>((I460-R460)/I460)*100%</f>
        <v>0.2714780926375468</v>
      </c>
      <c r="U460" s="238">
        <v>2.069</v>
      </c>
      <c r="V460" s="239">
        <f>U460*$X$31</f>
        <v>2.4827999999999997</v>
      </c>
      <c r="W460" s="239">
        <f>V460*$R$33</f>
        <v>116.77353239999999</v>
      </c>
      <c r="X460" s="240">
        <f>(ROUND(W460/(1-$AA$458),0))</f>
        <v>188</v>
      </c>
      <c r="Y460" s="239">
        <f>Z460*(1-$X$451)</f>
        <v>174.8</v>
      </c>
      <c r="Z460" s="240">
        <f>ROUND(X460/(1-$X$450),0)</f>
        <v>437</v>
      </c>
      <c r="AA460" s="241">
        <f>((X460-W460)/X460)*100%</f>
        <v>0.37886418936170219</v>
      </c>
      <c r="AB460" s="241">
        <f>((Y460-W460)/Y460)*100%</f>
        <v>0.33195919679633873</v>
      </c>
      <c r="AC460" s="265">
        <f>((N460/Y460)-1)*100%</f>
        <v>0.47597254004576639</v>
      </c>
      <c r="AD460" s="1004">
        <f>((N460*0.96-W460)/(N460*0.96))*100%</f>
        <v>0.52853063468992245</v>
      </c>
      <c r="AE460" s="238">
        <f>N460/$R$33</f>
        <v>5.485510173707822</v>
      </c>
      <c r="AF460" s="239">
        <f>(V460/(1-$AA$458))</f>
        <v>4.0045161290322575</v>
      </c>
      <c r="AG460" s="1886">
        <v>9.1999999999999993</v>
      </c>
      <c r="AH460" s="244">
        <f>((AF460-V460)/AF460)*100%</f>
        <v>0.38</v>
      </c>
      <c r="AI460" s="652">
        <f>AJ460/$AJ$462</f>
        <v>0.58655169250527472</v>
      </c>
      <c r="AJ460" s="881">
        <f>VLOOKUP($B460,[1]Статистика!$B:$D,3,FALSE)</f>
        <v>6394</v>
      </c>
      <c r="AK460" s="1088">
        <f>AJ460*Q460*S460</f>
        <v>3566.6904952387822</v>
      </c>
      <c r="AL460" s="652">
        <f>AK460/$AK$462</f>
        <v>0.52111917162321408</v>
      </c>
      <c r="AM460" s="50">
        <f>AJ460/$AJ$469</f>
        <v>0.40435085056599002</v>
      </c>
      <c r="AN460" s="50">
        <f>AK460/$AK$469</f>
        <v>0.41254734408967264</v>
      </c>
      <c r="AO460" s="13"/>
      <c r="AP460" s="13"/>
    </row>
    <row r="461" spans="1:42" ht="16.5" thickBot="1">
      <c r="A461" s="187"/>
      <c r="B461" s="359" t="s">
        <v>354</v>
      </c>
      <c r="C461" s="275" t="s">
        <v>192</v>
      </c>
      <c r="D461" s="276">
        <v>290</v>
      </c>
      <c r="E461" s="275">
        <v>8</v>
      </c>
      <c r="F461" s="276">
        <v>64</v>
      </c>
      <c r="G461" s="339">
        <v>466</v>
      </c>
      <c r="H461" s="1031">
        <f>G461*(1+$H$33)</f>
        <v>498.62</v>
      </c>
      <c r="I461" s="1031">
        <f>H461-H461*$J$454</f>
        <v>214.40660000000003</v>
      </c>
      <c r="J461" s="1032">
        <f>G461-G461*$J$454</f>
        <v>200.38</v>
      </c>
      <c r="K461" s="900">
        <v>710</v>
      </c>
      <c r="L461" s="341">
        <v>359</v>
      </c>
      <c r="M461" s="342">
        <f>L461/D461*100%</f>
        <v>1.2379310344827585</v>
      </c>
      <c r="N461" s="767">
        <f>K461-(K461*$O$33)</f>
        <v>355</v>
      </c>
      <c r="O461" s="363">
        <f>((N461/J461)-1)*100%</f>
        <v>0.77163389559836304</v>
      </c>
      <c r="P461" s="388">
        <f>((N461/I461)-1)*100%</f>
        <v>0.65573261270875038</v>
      </c>
      <c r="Q461" s="344">
        <v>3.33</v>
      </c>
      <c r="R461" s="285">
        <f>Q461*$R$33</f>
        <v>156.61989</v>
      </c>
      <c r="S461" s="286">
        <f>((J461-R461)/J461)*100%</f>
        <v>0.21838561732707854</v>
      </c>
      <c r="T461" s="1089">
        <f>((I461-R461)/I461)*100%</f>
        <v>0.26951926852998004</v>
      </c>
      <c r="U461" s="261">
        <v>2.8079999999999998</v>
      </c>
      <c r="V461" s="239">
        <f>U461*$X$31</f>
        <v>3.3695999999999997</v>
      </c>
      <c r="W461" s="262">
        <f>V461*$R$33</f>
        <v>158.4823968</v>
      </c>
      <c r="X461" s="240">
        <f>(ROUND(W461/(1-$AA$458),0))</f>
        <v>256</v>
      </c>
      <c r="Y461" s="239">
        <f>Z461*(1-$X$451)</f>
        <v>238</v>
      </c>
      <c r="Z461" s="240">
        <f>ROUND(X461/(1-$X$450),0)</f>
        <v>595</v>
      </c>
      <c r="AA461" s="264">
        <f>((X461-W461)/X461)*100%</f>
        <v>0.38092813749999999</v>
      </c>
      <c r="AB461" s="241">
        <f>((Y461-W461)/Y461)*100%</f>
        <v>0.3341075764705882</v>
      </c>
      <c r="AC461" s="242">
        <f>((N461/Y461)-1)*100%</f>
        <v>0.49159663865546221</v>
      </c>
      <c r="AD461" s="1004">
        <f>((N461*0.96-W461)/(N461*0.96))*100%</f>
        <v>0.53496949295774643</v>
      </c>
      <c r="AE461" s="261">
        <f>N461/$R$33</f>
        <v>7.5478919056832439</v>
      </c>
      <c r="AF461" s="239">
        <f>(V461/(1-$AA$458))</f>
        <v>5.4348387096774191</v>
      </c>
      <c r="AG461" s="1886">
        <v>12.45</v>
      </c>
      <c r="AH461" s="267">
        <f>((AF461-V461)/AF461)*100%</f>
        <v>0.38</v>
      </c>
      <c r="AI461" s="664">
        <f>AJ461/$AJ$462</f>
        <v>0.41344830749472528</v>
      </c>
      <c r="AJ461" s="944">
        <f>VLOOKUP($B461,[1]Статистика!$B:$D,3,FALSE)</f>
        <v>4507</v>
      </c>
      <c r="AK461" s="859">
        <f>AJ461*Q461*S461</f>
        <v>3277.599044386166</v>
      </c>
      <c r="AL461" s="664">
        <f>AK461/$AK$462</f>
        <v>0.47888082837678597</v>
      </c>
      <c r="AM461" s="334">
        <f>AJ461/$AJ$469</f>
        <v>0.28501865553658384</v>
      </c>
      <c r="AN461" s="334">
        <f>AK461/$AK$469</f>
        <v>0.37910908797872506</v>
      </c>
      <c r="AO461" s="13"/>
      <c r="AP461" s="13"/>
    </row>
    <row r="462" spans="1:42" ht="15.75" thickBot="1">
      <c r="A462" s="187"/>
      <c r="B462" s="413"/>
      <c r="C462" s="413"/>
      <c r="D462" s="414"/>
      <c r="E462" s="413"/>
      <c r="F462" s="414"/>
      <c r="G462" s="827"/>
      <c r="H462" s="785"/>
      <c r="I462" s="785"/>
      <c r="J462" s="897"/>
      <c r="K462" s="533"/>
      <c r="P462" s="1090"/>
      <c r="Q462" s="1091"/>
      <c r="R462" s="1092"/>
      <c r="S462" s="364"/>
      <c r="T462" s="364"/>
      <c r="U462" s="872"/>
      <c r="V462" s="872"/>
      <c r="W462" s="872"/>
      <c r="X462" s="872"/>
      <c r="Y462" s="872"/>
      <c r="Z462" s="872"/>
      <c r="AA462" s="364"/>
      <c r="AB462" s="364"/>
      <c r="AC462" s="364"/>
      <c r="AD462" s="364">
        <f>AVERAGE(AD460:AD461)</f>
        <v>0.53175006382383438</v>
      </c>
      <c r="AE462" s="872"/>
      <c r="AF462" s="872"/>
      <c r="AG462" s="1882"/>
      <c r="AH462" s="364"/>
      <c r="AI462" s="512">
        <f>S460*AI460+S461*AI461</f>
        <v>0.2196149955343849</v>
      </c>
      <c r="AJ462" s="513">
        <f>SUM(AJ460:AJ461)</f>
        <v>10901</v>
      </c>
      <c r="AK462" s="514">
        <f>SUM(AK460:AK461)</f>
        <v>6844.2895396249478</v>
      </c>
      <c r="AM462" s="307">
        <f>SUM(AM460:AM461)</f>
        <v>0.68936950610257386</v>
      </c>
      <c r="AN462" s="307">
        <f>SUM(AN460:AN461)</f>
        <v>0.79165643206839764</v>
      </c>
      <c r="AO462" s="13"/>
      <c r="AP462" s="13"/>
    </row>
    <row r="463" spans="1:42" ht="19.5" thickBot="1">
      <c r="A463" s="187"/>
      <c r="B463" s="413"/>
      <c r="C463" s="413"/>
      <c r="D463" s="414"/>
      <c r="E463" s="413"/>
      <c r="F463" s="414"/>
      <c r="G463" s="827"/>
      <c r="H463" s="785"/>
      <c r="I463" s="785"/>
      <c r="J463" s="897"/>
      <c r="K463" s="533"/>
      <c r="P463" s="131">
        <f>AVERAGE(P455:P456,P460:P461)</f>
        <v>0.61910327202478854</v>
      </c>
      <c r="R463" s="1856" t="s">
        <v>1133</v>
      </c>
      <c r="S463" s="615">
        <f>AVERAGE(S455:S456,S460:S461)</f>
        <v>0.15071534062394135</v>
      </c>
      <c r="T463" s="1095">
        <f>AVERAGE(T455:T456,T460:T461)</f>
        <v>0.20627601927471162</v>
      </c>
      <c r="U463" s="2352"/>
      <c r="V463" s="2352"/>
      <c r="W463" s="2352"/>
      <c r="X463" s="2352"/>
      <c r="Y463" s="2352"/>
      <c r="Z463" s="2352"/>
      <c r="AA463" s="1063"/>
      <c r="AB463" s="1063"/>
      <c r="AC463" s="1063"/>
      <c r="AD463" s="1063"/>
      <c r="AE463" s="1064"/>
      <c r="AF463" s="1064"/>
      <c r="AG463" s="1888"/>
      <c r="AH463" s="1063"/>
      <c r="AI463" s="2336" t="s">
        <v>1261</v>
      </c>
      <c r="AJ463" s="2336"/>
      <c r="AK463" s="2336"/>
      <c r="AL463" s="2336"/>
      <c r="AM463" s="2336"/>
      <c r="AN463" s="2337"/>
      <c r="AO463" s="13"/>
      <c r="AP463" s="13"/>
    </row>
    <row r="464" spans="1:42" ht="19.5" thickBot="1">
      <c r="A464" s="149" t="s">
        <v>969</v>
      </c>
      <c r="B464" s="17"/>
      <c r="C464" s="798" t="s">
        <v>972</v>
      </c>
      <c r="D464" s="187"/>
      <c r="E464" s="187"/>
      <c r="G464" s="187"/>
      <c r="H464" s="1058"/>
      <c r="I464" s="785"/>
      <c r="J464" s="897"/>
      <c r="K464" s="533"/>
      <c r="P464" s="1096"/>
      <c r="R464" s="786"/>
      <c r="S464" s="367"/>
      <c r="T464" s="890"/>
      <c r="U464" s="1097"/>
      <c r="V464" s="1097"/>
      <c r="W464" s="1097"/>
      <c r="X464" s="1097"/>
      <c r="Y464" s="1097"/>
      <c r="Z464" s="1097"/>
      <c r="AA464" s="585">
        <v>0.22</v>
      </c>
      <c r="AB464" s="585"/>
      <c r="AC464" s="585"/>
      <c r="AD464" s="585"/>
      <c r="AE464" s="188"/>
      <c r="AF464" s="188"/>
      <c r="AG464" s="1866"/>
      <c r="AH464" s="585"/>
      <c r="AI464" s="771"/>
      <c r="AJ464" s="771"/>
      <c r="AK464" s="771"/>
      <c r="AL464" s="771"/>
      <c r="AM464" s="771"/>
      <c r="AN464" s="771"/>
      <c r="AO464" s="13"/>
      <c r="AP464" s="13"/>
    </row>
    <row r="465" spans="1:42" ht="36.75" thickBot="1">
      <c r="A465" s="187"/>
      <c r="B465" s="629" t="s">
        <v>10</v>
      </c>
      <c r="C465" s="630" t="s">
        <v>11</v>
      </c>
      <c r="D465" s="631" t="s">
        <v>12</v>
      </c>
      <c r="E465" s="631" t="s">
        <v>13</v>
      </c>
      <c r="F465" s="370" t="s">
        <v>14</v>
      </c>
      <c r="G465" s="17"/>
      <c r="H465" s="1065" t="s">
        <v>1090</v>
      </c>
      <c r="I465" s="1066">
        <f>$C$13</f>
        <v>0.56999999999999995</v>
      </c>
      <c r="J465" s="897"/>
      <c r="K465" s="533"/>
      <c r="P465" s="1096"/>
      <c r="Q465" s="200" t="s">
        <v>1093</v>
      </c>
      <c r="R465" s="201" t="s">
        <v>1094</v>
      </c>
      <c r="S465" s="350" t="s">
        <v>1095</v>
      </c>
      <c r="T465" s="1086" t="s">
        <v>1095</v>
      </c>
      <c r="U465" s="204" t="s">
        <v>1096</v>
      </c>
      <c r="V465" s="205" t="s">
        <v>1093</v>
      </c>
      <c r="W465" s="206" t="s">
        <v>1094</v>
      </c>
      <c r="X465" s="207" t="s">
        <v>1097</v>
      </c>
      <c r="Y465" s="208">
        <f>$X$451</f>
        <v>0.6</v>
      </c>
      <c r="Z465" s="207" t="s">
        <v>1098</v>
      </c>
      <c r="AA465" s="209" t="s">
        <v>1099</v>
      </c>
      <c r="AB465" s="209" t="s">
        <v>1100</v>
      </c>
      <c r="AC465" s="210" t="s">
        <v>1092</v>
      </c>
      <c r="AD465" s="211" t="s">
        <v>1101</v>
      </c>
      <c r="AE465" s="209" t="s">
        <v>1102</v>
      </c>
      <c r="AF465" s="208" t="s">
        <v>1103</v>
      </c>
      <c r="AG465" s="1867" t="s">
        <v>1104</v>
      </c>
      <c r="AH465" s="213" t="s">
        <v>1116</v>
      </c>
      <c r="AI465" s="771"/>
      <c r="AJ465" s="771"/>
      <c r="AK465" s="771"/>
      <c r="AL465" s="771"/>
      <c r="AM465" s="771"/>
      <c r="AN465" s="771"/>
      <c r="AO465" s="13"/>
      <c r="AP465" s="13"/>
    </row>
    <row r="466" spans="1:42" ht="18.75">
      <c r="A466" s="187"/>
      <c r="B466" s="1098" t="s">
        <v>970</v>
      </c>
      <c r="C466" s="1099" t="s">
        <v>190</v>
      </c>
      <c r="D466" s="1100">
        <v>270</v>
      </c>
      <c r="E466" s="1101">
        <v>10</v>
      </c>
      <c r="F466" s="224">
        <v>100</v>
      </c>
      <c r="G466" s="17"/>
      <c r="H466" s="1102">
        <v>439</v>
      </c>
      <c r="I466" s="1072">
        <f>H466-H466*$I$465</f>
        <v>188.77</v>
      </c>
      <c r="J466" s="897"/>
      <c r="K466" s="533"/>
      <c r="P466" s="1096"/>
      <c r="Q466" s="326">
        <v>3.5568</v>
      </c>
      <c r="R466" s="258">
        <f>Q466*$R$33</f>
        <v>167.28697439999999</v>
      </c>
      <c r="S466" s="259">
        <f>((I466-R466)/I466)*100%</f>
        <v>0.11380529533294495</v>
      </c>
      <c r="T466" s="325">
        <f>((I466-R466)/I466)*100%</f>
        <v>0.11380529533294495</v>
      </c>
      <c r="U466" s="238">
        <v>2.96</v>
      </c>
      <c r="V466" s="239">
        <f>U466*$X$31</f>
        <v>3.552</v>
      </c>
      <c r="W466" s="239">
        <f>V466*$R$33</f>
        <v>167.061216</v>
      </c>
      <c r="X466" s="240">
        <f>(ROUND(W466/(1-$AA$464),0))</f>
        <v>214</v>
      </c>
      <c r="Y466" s="239">
        <f>Z466*(1-$X$451)</f>
        <v>199.20000000000002</v>
      </c>
      <c r="Z466" s="240">
        <f>ROUND(X466/(1-$X$450),0)</f>
        <v>498</v>
      </c>
      <c r="AA466" s="241">
        <f>((X466-W466)/X466)*100%</f>
        <v>0.2193401121495327</v>
      </c>
      <c r="AB466" s="241">
        <f>((Y466-W466)/Y466)*100%</f>
        <v>0.16133927710843379</v>
      </c>
      <c r="AC466" s="265"/>
      <c r="AD466" s="1004"/>
      <c r="AE466" s="238">
        <f>N466/$R$33</f>
        <v>0</v>
      </c>
      <c r="AF466" s="239">
        <f>(V466/(1-$AA$464))</f>
        <v>4.5538461538461537</v>
      </c>
      <c r="AG466" s="1868">
        <f>AF466/(1-$X$450)</f>
        <v>10.590339892665472</v>
      </c>
      <c r="AH466" s="244">
        <f>((AF466-V466)/AF466)*100%</f>
        <v>0.21999999999999995</v>
      </c>
      <c r="AI466" s="771"/>
      <c r="AJ466" s="771"/>
      <c r="AK466" s="771"/>
      <c r="AL466" s="771"/>
      <c r="AM466" s="771"/>
      <c r="AN466" s="771"/>
      <c r="AO466" s="13"/>
      <c r="AP466" s="13"/>
    </row>
    <row r="467" spans="1:42" ht="19.5" thickBot="1">
      <c r="A467" s="187"/>
      <c r="B467" s="1103" t="s">
        <v>971</v>
      </c>
      <c r="C467" s="789" t="s">
        <v>192</v>
      </c>
      <c r="D467" s="790">
        <v>320</v>
      </c>
      <c r="E467" s="791">
        <v>8</v>
      </c>
      <c r="F467" s="276">
        <v>64</v>
      </c>
      <c r="G467" s="17"/>
      <c r="H467" s="1104">
        <v>508</v>
      </c>
      <c r="I467" s="1072">
        <f>H467-H467*$I$465</f>
        <v>218.44</v>
      </c>
      <c r="J467" s="897"/>
      <c r="K467" s="533"/>
      <c r="P467" s="1096"/>
      <c r="Q467" s="344">
        <v>4.1339999999999995</v>
      </c>
      <c r="R467" s="285">
        <f>Q467*$R$33</f>
        <v>194.43442199999998</v>
      </c>
      <c r="S467" s="259">
        <f>((I467-R467)/I467)*100%</f>
        <v>0.10989552279802241</v>
      </c>
      <c r="T467" s="1089">
        <f>((I467-R467)/I467)*100%</f>
        <v>0.10989552279802241</v>
      </c>
      <c r="U467" s="261">
        <v>3.45</v>
      </c>
      <c r="V467" s="239">
        <f>U467*$X$31</f>
        <v>4.1399999999999997</v>
      </c>
      <c r="W467" s="262">
        <f>V467*$R$33</f>
        <v>194.71661999999998</v>
      </c>
      <c r="X467" s="240">
        <f>(ROUND(W467/(1-$AA$464),0))</f>
        <v>250</v>
      </c>
      <c r="Y467" s="239">
        <f>Z467*(1-$X$451)</f>
        <v>232.4</v>
      </c>
      <c r="Z467" s="240">
        <f>ROUND(X467/(1-$X$450),0)</f>
        <v>581</v>
      </c>
      <c r="AA467" s="264">
        <f>((X467-W467)/X467)*100%</f>
        <v>0.22113352000000008</v>
      </c>
      <c r="AB467" s="241">
        <f>((Y467-W467)/Y467)*100%</f>
        <v>0.162148795180723</v>
      </c>
      <c r="AC467" s="242"/>
      <c r="AD467" s="1004"/>
      <c r="AE467" s="261">
        <f>N467/$R$33</f>
        <v>0</v>
      </c>
      <c r="AF467" s="239">
        <f>(V467/(1-$AA$464))</f>
        <v>5.3076923076923075</v>
      </c>
      <c r="AG467" s="1868">
        <v>12.34</v>
      </c>
      <c r="AH467" s="267">
        <f>((AF467-V467)/AF467)*100%</f>
        <v>0.22000000000000003</v>
      </c>
      <c r="AI467" s="771"/>
      <c r="AJ467" s="771"/>
      <c r="AK467" s="771"/>
      <c r="AL467" s="771"/>
      <c r="AM467" s="771"/>
      <c r="AN467" s="771"/>
      <c r="AO467" s="13"/>
      <c r="AP467" s="13"/>
    </row>
    <row r="468" spans="1:42" ht="19.5" thickBot="1">
      <c r="A468" s="187"/>
      <c r="B468" s="797"/>
      <c r="C468" s="783"/>
      <c r="D468" s="796"/>
      <c r="E468" s="797"/>
      <c r="F468" s="414"/>
      <c r="G468" s="784"/>
      <c r="H468" s="1058"/>
      <c r="I468" s="785"/>
      <c r="J468" s="897"/>
      <c r="K468" s="533"/>
      <c r="P468" s="1096"/>
      <c r="R468" s="786"/>
      <c r="S468" s="367"/>
      <c r="T468" s="890"/>
      <c r="U468" s="1105"/>
      <c r="V468" s="1105"/>
      <c r="W468" s="1105"/>
      <c r="X468" s="1105"/>
      <c r="Y468" s="1105"/>
      <c r="Z468" s="1105"/>
      <c r="AA468" s="771"/>
      <c r="AB468" s="771"/>
      <c r="AC468" s="771"/>
      <c r="AD468" s="771"/>
      <c r="AE468" s="770"/>
      <c r="AF468" s="770"/>
      <c r="AG468" s="1879"/>
      <c r="AH468" s="771"/>
      <c r="AI468" s="771"/>
      <c r="AJ468" s="771"/>
      <c r="AK468" s="771"/>
      <c r="AL468" s="771"/>
      <c r="AM468" s="771"/>
      <c r="AN468" s="771"/>
      <c r="AO468" s="13"/>
      <c r="AP468" s="13"/>
    </row>
    <row r="469" spans="1:42" ht="18.75">
      <c r="S469" s="364"/>
      <c r="T469" s="364"/>
      <c r="U469" s="2350" t="s">
        <v>1262</v>
      </c>
      <c r="V469" s="2331"/>
      <c r="W469" s="2331"/>
      <c r="X469" s="2331"/>
      <c r="Y469" s="2331"/>
      <c r="Z469" s="2351"/>
      <c r="AA469" s="952">
        <f>AVERAGE(AA455:AA456,AA460:AA461,AA466:AA467)</f>
        <v>0.3271630391018725</v>
      </c>
      <c r="AB469" s="952">
        <f>AVERAGE(AB461:AB462,AB460:AB461,AB466:AB467)</f>
        <v>0.26473248440533442</v>
      </c>
      <c r="AC469" s="952">
        <f>AVERAGE(AC461:AC462,AC466:AC467)</f>
        <v>0.49159663865546221</v>
      </c>
      <c r="AD469" s="952">
        <f>AVERAGE(AD461:AD462,AD466:AD467)</f>
        <v>0.53335977839079041</v>
      </c>
      <c r="AE469" s="953"/>
      <c r="AF469" s="953"/>
      <c r="AG469" s="1884"/>
      <c r="AH469" s="952">
        <f>AVERAGE(AH455:AH456,AH460:AH461,AH466:AH467)</f>
        <v>0.32666666666666666</v>
      </c>
      <c r="AI469" s="838">
        <f>AVERAGE(AI457,AI462)</f>
        <v>0.18420763317360112</v>
      </c>
      <c r="AJ469" s="839">
        <f>SUM(AJ457,AJ462)</f>
        <v>15813</v>
      </c>
      <c r="AK469" s="840">
        <f>SUM(AK457,AK462)</f>
        <v>8645.53013450867</v>
      </c>
      <c r="AL469" s="841"/>
      <c r="AM469" s="842">
        <f>SUM(AM457,AM462)</f>
        <v>1</v>
      </c>
      <c r="AN469" s="842">
        <f>SUM(AN457,AN462)</f>
        <v>1</v>
      </c>
      <c r="AO469" s="13"/>
      <c r="AP469" s="13"/>
    </row>
    <row r="470" spans="1:42">
      <c r="AO470" s="13"/>
      <c r="AP470" s="13"/>
    </row>
    <row r="471" spans="1:42" ht="18.75">
      <c r="A471" s="834" t="s">
        <v>107</v>
      </c>
      <c r="B471" s="893"/>
      <c r="C471" s="893"/>
      <c r="J471" s="532"/>
      <c r="K471" s="533"/>
      <c r="AO471" s="13"/>
      <c r="AP471" s="13"/>
    </row>
    <row r="472" spans="1:42" ht="18.75">
      <c r="A472" s="187"/>
      <c r="J472" s="532"/>
      <c r="K472" s="533"/>
      <c r="N472" s="1106"/>
      <c r="AA472" s="17" t="s">
        <v>973</v>
      </c>
      <c r="AO472" s="13"/>
      <c r="AP472" s="13"/>
    </row>
    <row r="473" spans="1:42">
      <c r="A473" s="749" t="s">
        <v>1</v>
      </c>
      <c r="F473" s="158" t="s">
        <v>1077</v>
      </c>
      <c r="G473" s="158"/>
      <c r="H473" s="159"/>
      <c r="I473" s="160"/>
      <c r="J473" s="541"/>
      <c r="K473" s="533"/>
      <c r="O473" s="152" t="s">
        <v>973</v>
      </c>
      <c r="AO473" s="13"/>
      <c r="AP473" s="13"/>
    </row>
    <row r="474" spans="1:42">
      <c r="A474" s="2357" t="s">
        <v>606</v>
      </c>
      <c r="B474" s="2357"/>
      <c r="C474" s="2357"/>
      <c r="D474" s="2357"/>
      <c r="E474" s="2357"/>
      <c r="F474" s="2357"/>
      <c r="G474" s="2357"/>
      <c r="H474" s="2357"/>
      <c r="I474" s="2357"/>
      <c r="J474" s="2357"/>
      <c r="K474" s="533"/>
      <c r="AO474" s="13"/>
      <c r="AP474" s="13"/>
    </row>
    <row r="475" spans="1:42">
      <c r="A475" s="749" t="s">
        <v>2</v>
      </c>
      <c r="B475" s="1107"/>
      <c r="J475" s="532"/>
      <c r="K475" s="533"/>
      <c r="AO475" s="13"/>
      <c r="AP475" s="13"/>
    </row>
    <row r="476" spans="1:42">
      <c r="A476" s="2357" t="s">
        <v>108</v>
      </c>
      <c r="B476" s="2357"/>
      <c r="C476" s="2357"/>
      <c r="D476" s="2357"/>
      <c r="E476" s="2357"/>
      <c r="F476" s="2357"/>
      <c r="G476" s="2357"/>
      <c r="H476" s="2357"/>
      <c r="I476" s="2357"/>
      <c r="J476" s="2357"/>
      <c r="K476" s="533"/>
      <c r="AO476" s="13"/>
      <c r="AP476" s="13"/>
    </row>
    <row r="477" spans="1:42">
      <c r="A477" s="1108" t="s">
        <v>109</v>
      </c>
      <c r="B477" s="1109">
        <v>1</v>
      </c>
      <c r="C477" s="1109">
        <v>2</v>
      </c>
      <c r="D477" s="1109">
        <v>3</v>
      </c>
      <c r="E477" s="1109">
        <v>4</v>
      </c>
      <c r="F477" s="1109">
        <v>5</v>
      </c>
      <c r="J477" s="532"/>
      <c r="K477" s="533"/>
      <c r="AO477" s="13"/>
      <c r="AP477" s="13"/>
    </row>
    <row r="478" spans="1:42">
      <c r="A478" s="450" t="s">
        <v>601</v>
      </c>
      <c r="B478" s="250" t="s">
        <v>1263</v>
      </c>
      <c r="C478" s="1110" t="s">
        <v>110</v>
      </c>
      <c r="D478" s="1110" t="s">
        <v>111</v>
      </c>
      <c r="E478" s="1110" t="s">
        <v>112</v>
      </c>
      <c r="F478" s="1110" t="s">
        <v>113</v>
      </c>
      <c r="J478" s="532"/>
      <c r="K478" s="533"/>
      <c r="AO478" s="13"/>
      <c r="AP478" s="13"/>
    </row>
    <row r="479" spans="1:42">
      <c r="A479" s="187"/>
      <c r="J479" s="532"/>
      <c r="K479" s="533"/>
      <c r="AO479" s="13"/>
      <c r="AP479" s="13"/>
    </row>
    <row r="480" spans="1:42">
      <c r="A480" s="749" t="s">
        <v>5</v>
      </c>
      <c r="J480" s="532"/>
      <c r="K480" s="533"/>
      <c r="AO480" s="13"/>
      <c r="AP480" s="13"/>
    </row>
    <row r="481" spans="1:42">
      <c r="A481" s="751" t="s">
        <v>88</v>
      </c>
      <c r="B481" s="156"/>
      <c r="J481" s="532"/>
      <c r="K481" s="533"/>
      <c r="AO481" s="13"/>
      <c r="AP481" s="13"/>
    </row>
    <row r="482" spans="1:42">
      <c r="A482" s="751" t="s">
        <v>602</v>
      </c>
      <c r="B482" s="162"/>
      <c r="J482" s="532"/>
      <c r="K482" s="533"/>
      <c r="AO482" s="13"/>
      <c r="AP482" s="13"/>
    </row>
    <row r="483" spans="1:42">
      <c r="A483" s="751" t="s">
        <v>1264</v>
      </c>
      <c r="B483" s="162"/>
      <c r="J483" s="532"/>
      <c r="K483" s="533"/>
      <c r="AO483" s="13"/>
      <c r="AP483" s="13"/>
    </row>
    <row r="484" spans="1:42">
      <c r="A484" s="187" t="s">
        <v>114</v>
      </c>
      <c r="B484" s="162"/>
      <c r="J484" s="532"/>
      <c r="K484" s="533"/>
      <c r="W484" s="1026" t="s">
        <v>1251</v>
      </c>
      <c r="X484" s="1026">
        <f>$C$14</f>
        <v>0.51</v>
      </c>
      <c r="AO484" s="13"/>
      <c r="AP484" s="13"/>
    </row>
    <row r="485" spans="1:42">
      <c r="A485" s="187"/>
      <c r="J485" s="532"/>
      <c r="K485" s="533"/>
      <c r="W485" s="1026" t="s">
        <v>1252</v>
      </c>
      <c r="X485" s="1026">
        <v>0.55000000000000004</v>
      </c>
      <c r="AO485" s="13"/>
      <c r="AP485" s="13"/>
    </row>
    <row r="486" spans="1:42">
      <c r="A486" s="149" t="s">
        <v>115</v>
      </c>
      <c r="C486" s="157" t="s">
        <v>116</v>
      </c>
      <c r="J486" s="532"/>
      <c r="K486" s="533"/>
      <c r="AO486" s="13"/>
      <c r="AP486" s="13"/>
    </row>
    <row r="487" spans="1:42" ht="15.75" thickBot="1">
      <c r="A487" s="187"/>
      <c r="B487" s="157"/>
      <c r="C487" s="148" t="s">
        <v>1265</v>
      </c>
      <c r="J487" s="532"/>
      <c r="K487" s="2309" t="s">
        <v>1266</v>
      </c>
      <c r="L487" s="2309"/>
      <c r="M487" s="2309"/>
      <c r="N487" s="2309"/>
      <c r="O487" s="2309"/>
      <c r="P487" s="1852"/>
      <c r="U487" s="1111"/>
      <c r="V487" s="1111"/>
      <c r="W487" s="1111"/>
      <c r="X487" s="1111"/>
      <c r="Y487" s="1111"/>
      <c r="Z487" s="1111"/>
      <c r="AA487" s="1112">
        <v>0.37</v>
      </c>
      <c r="AB487" s="368"/>
      <c r="AC487" s="368"/>
      <c r="AD487" s="368"/>
      <c r="AE487" s="1111"/>
      <c r="AF487" s="1111"/>
      <c r="AG487" s="1889"/>
      <c r="AH487" s="368"/>
      <c r="AO487" s="13"/>
      <c r="AP487" s="13"/>
    </row>
    <row r="488" spans="1:42" ht="36.75" thickBot="1">
      <c r="A488" s="187"/>
      <c r="B488" s="369" t="s">
        <v>10</v>
      </c>
      <c r="C488" s="370" t="s">
        <v>11</v>
      </c>
      <c r="D488" s="370" t="s">
        <v>12</v>
      </c>
      <c r="E488" s="370" t="s">
        <v>13</v>
      </c>
      <c r="F488" s="370" t="s">
        <v>14</v>
      </c>
      <c r="G488" s="371" t="s">
        <v>15</v>
      </c>
      <c r="H488" s="372" t="s">
        <v>1090</v>
      </c>
      <c r="I488" s="633">
        <f>$C$14</f>
        <v>0.51</v>
      </c>
      <c r="J488" s="684">
        <f>$C$14</f>
        <v>0.51</v>
      </c>
      <c r="K488" s="548" t="s">
        <v>15</v>
      </c>
      <c r="L488" s="423" t="s">
        <v>12</v>
      </c>
      <c r="M488" s="196" t="s">
        <v>1091</v>
      </c>
      <c r="N488" s="549" t="s">
        <v>993</v>
      </c>
      <c r="O488" s="424" t="s">
        <v>1092</v>
      </c>
      <c r="P488" s="772" t="s">
        <v>1092</v>
      </c>
      <c r="Q488" s="200" t="s">
        <v>1093</v>
      </c>
      <c r="R488" s="201" t="s">
        <v>1094</v>
      </c>
      <c r="S488" s="202" t="s">
        <v>1095</v>
      </c>
      <c r="T488" s="958" t="s">
        <v>1095</v>
      </c>
      <c r="U488" s="204" t="s">
        <v>1096</v>
      </c>
      <c r="V488" s="205" t="s">
        <v>1093</v>
      </c>
      <c r="W488" s="206" t="s">
        <v>1094</v>
      </c>
      <c r="X488" s="207" t="s">
        <v>1097</v>
      </c>
      <c r="Y488" s="208">
        <f>$X$485</f>
        <v>0.55000000000000004</v>
      </c>
      <c r="Z488" s="207" t="s">
        <v>1098</v>
      </c>
      <c r="AA488" s="209" t="s">
        <v>1099</v>
      </c>
      <c r="AB488" s="209" t="s">
        <v>1100</v>
      </c>
      <c r="AC488" s="210" t="s">
        <v>1092</v>
      </c>
      <c r="AD488" s="211" t="s">
        <v>1101</v>
      </c>
      <c r="AE488" s="209" t="s">
        <v>1102</v>
      </c>
      <c r="AF488" s="208" t="s">
        <v>1103</v>
      </c>
      <c r="AG488" s="1867" t="s">
        <v>1104</v>
      </c>
      <c r="AH488" s="213" t="s">
        <v>1116</v>
      </c>
      <c r="AJ488" s="483" t="s">
        <v>1107</v>
      </c>
      <c r="AK488" s="484" t="s">
        <v>1108</v>
      </c>
      <c r="AL488" s="16"/>
      <c r="AM488" s="1113"/>
      <c r="AN488" s="1113"/>
      <c r="AO488" s="13"/>
      <c r="AP488" s="13"/>
    </row>
    <row r="489" spans="1:42" ht="16.5" thickBot="1">
      <c r="A489" s="271"/>
      <c r="B489" s="359" t="s">
        <v>355</v>
      </c>
      <c r="C489" s="754" t="s">
        <v>356</v>
      </c>
      <c r="D489" s="755">
        <v>131</v>
      </c>
      <c r="E489" s="754">
        <v>16</v>
      </c>
      <c r="F489" s="755">
        <v>160</v>
      </c>
      <c r="G489" s="756">
        <v>400</v>
      </c>
      <c r="H489" s="488">
        <f>G489*(1+$H$33)</f>
        <v>428</v>
      </c>
      <c r="I489" s="488">
        <f>H489-H489*$J$35</f>
        <v>218.28</v>
      </c>
      <c r="J489" s="1040">
        <f>G489-G489*$J$488</f>
        <v>196</v>
      </c>
      <c r="K489" s="279">
        <v>725</v>
      </c>
      <c r="L489" s="341">
        <v>126</v>
      </c>
      <c r="M489" s="896">
        <f>L489/D489*100%</f>
        <v>0.96183206106870234</v>
      </c>
      <c r="N489" s="390">
        <f>K489-(K489*$O$33)</f>
        <v>362.5</v>
      </c>
      <c r="O489" s="901">
        <f>((N489/J489)-1)*100%</f>
        <v>0.84948979591836737</v>
      </c>
      <c r="P489" s="1089">
        <f>((N489/I489)-1)*100%</f>
        <v>0.66071101337731353</v>
      </c>
      <c r="Q489" s="326">
        <v>3.2</v>
      </c>
      <c r="R489" s="258">
        <f>Q489*$R$33</f>
        <v>150.50560000000002</v>
      </c>
      <c r="S489" s="259">
        <f>((J489-R489)/J489)*100%</f>
        <v>0.23211428571428563</v>
      </c>
      <c r="T489" s="696">
        <f>((I489-R489)/I489)*100%</f>
        <v>0.31049294484148793</v>
      </c>
      <c r="U489" s="238">
        <v>2.7</v>
      </c>
      <c r="V489" s="239">
        <f>U489*$X$31</f>
        <v>3.24</v>
      </c>
      <c r="W489" s="239">
        <f>V489*$R$33</f>
        <v>152.38692</v>
      </c>
      <c r="X489" s="240">
        <f>(ROUND(W489/(1-$AA$487),0))</f>
        <v>242</v>
      </c>
      <c r="Y489" s="239">
        <f>Z489*(1-$X$485)</f>
        <v>222.29999999999998</v>
      </c>
      <c r="Z489" s="240">
        <f>ROUND(X489/(1-$X$484),0)</f>
        <v>494</v>
      </c>
      <c r="AA489" s="241">
        <f>((X489-W489)/X489)*100%</f>
        <v>0.37030198347107435</v>
      </c>
      <c r="AB489" s="241">
        <f>((Y489-W489)/Y489)*100%</f>
        <v>0.31449878542510112</v>
      </c>
      <c r="AC489" s="265">
        <f>((N489/Y489)-1)*100%</f>
        <v>0.63067926225820981</v>
      </c>
      <c r="AD489" s="1004">
        <f>((N489*0.96-W489)/(N489*0.96))*100%</f>
        <v>0.56210655172413793</v>
      </c>
      <c r="AE489" s="238">
        <f>N489/$R$33</f>
        <v>7.7073544107328891</v>
      </c>
      <c r="AF489" s="239">
        <f>(V489/(1-$AA$487))</f>
        <v>5.1428571428571432</v>
      </c>
      <c r="AG489" s="1886">
        <v>11</v>
      </c>
      <c r="AH489" s="244">
        <f>((AF489-V489)/AF489)*100%</f>
        <v>0.37</v>
      </c>
      <c r="AJ489" s="498">
        <f>[1]Статистика!D9</f>
        <v>8955</v>
      </c>
      <c r="AK489" s="76">
        <f>AJ489*Q489*S489</f>
        <v>6651.4669714285692</v>
      </c>
      <c r="AL489" s="16"/>
      <c r="AM489" s="771"/>
      <c r="AN489" s="771"/>
      <c r="AO489" s="13"/>
      <c r="AP489" s="13"/>
    </row>
    <row r="490" spans="1:42" ht="15.75" thickBot="1">
      <c r="AO490" s="13"/>
      <c r="AP490" s="13"/>
    </row>
    <row r="491" spans="1:42" ht="19.5" thickBot="1">
      <c r="N491" s="2358" t="s">
        <v>1267</v>
      </c>
      <c r="O491" s="2359"/>
      <c r="P491" s="2359"/>
      <c r="Q491" s="2359"/>
      <c r="R491" s="2360"/>
      <c r="S491" s="830">
        <f>AVERAGE(S411,S418,S423,S428,S457,S462,S489)</f>
        <v>0.23211428571428563</v>
      </c>
      <c r="T491" s="892">
        <f>AVERAGE(T429,T463,T489)</f>
        <v>0.21485782757410607</v>
      </c>
      <c r="U491" s="1114"/>
      <c r="V491" s="1114"/>
      <c r="W491" s="1114"/>
      <c r="X491" s="1114"/>
      <c r="Y491" s="1114"/>
      <c r="Z491" s="1114"/>
      <c r="AA491" s="1115"/>
      <c r="AB491" s="1115"/>
      <c r="AC491" s="1115"/>
      <c r="AD491" s="1115"/>
      <c r="AE491" s="1114"/>
      <c r="AF491" s="1114"/>
      <c r="AG491" s="1890"/>
      <c r="AH491" s="1115"/>
      <c r="AO491" s="13"/>
      <c r="AP491" s="13"/>
    </row>
    <row r="492" spans="1:42">
      <c r="AO492" s="13"/>
      <c r="AP492" s="13"/>
    </row>
    <row r="493" spans="1:42" ht="18.75">
      <c r="A493" s="834" t="s">
        <v>1268</v>
      </c>
      <c r="B493" s="893"/>
      <c r="F493" s="158" t="s">
        <v>1077</v>
      </c>
      <c r="J493" s="532"/>
      <c r="K493" s="533"/>
      <c r="AO493" s="13"/>
      <c r="AP493" s="13"/>
    </row>
    <row r="494" spans="1:42">
      <c r="A494" s="749" t="s">
        <v>1</v>
      </c>
      <c r="E494" s="157"/>
      <c r="J494" s="532"/>
      <c r="K494" s="533"/>
      <c r="AO494" s="13"/>
      <c r="AP494" s="13"/>
    </row>
    <row r="495" spans="1:42" ht="51" customHeight="1">
      <c r="A495" s="2343" t="s">
        <v>1269</v>
      </c>
      <c r="B495" s="2343"/>
      <c r="C495" s="2343"/>
      <c r="D495" s="2343"/>
      <c r="E495" s="2343"/>
      <c r="F495" s="2343"/>
      <c r="G495" s="2343"/>
      <c r="H495" s="2343"/>
      <c r="I495" s="2343"/>
      <c r="J495" s="2343"/>
      <c r="K495" s="2343"/>
      <c r="AO495" s="13"/>
      <c r="AP495" s="13"/>
    </row>
    <row r="496" spans="1:42">
      <c r="A496" s="749" t="s">
        <v>2</v>
      </c>
      <c r="E496" s="157"/>
      <c r="J496" s="532"/>
      <c r="K496" s="533"/>
      <c r="AO496" s="13"/>
      <c r="AP496" s="13"/>
    </row>
    <row r="497" spans="1:42">
      <c r="A497" s="187" t="s">
        <v>1270</v>
      </c>
      <c r="B497" s="156"/>
      <c r="E497" s="157"/>
      <c r="J497" s="532"/>
      <c r="K497" s="533"/>
      <c r="AO497" s="13"/>
      <c r="AP497" s="13"/>
    </row>
    <row r="498" spans="1:42">
      <c r="A498" s="749" t="s">
        <v>5</v>
      </c>
      <c r="E498" s="157"/>
      <c r="J498" s="532"/>
      <c r="K498" s="533"/>
      <c r="AO498" s="13"/>
      <c r="AP498" s="13"/>
    </row>
    <row r="499" spans="1:42">
      <c r="A499" s="751" t="s">
        <v>120</v>
      </c>
      <c r="B499" s="156"/>
      <c r="E499" s="157"/>
      <c r="J499" s="532"/>
      <c r="K499" s="533"/>
      <c r="W499" s="1026" t="s">
        <v>1251</v>
      </c>
      <c r="X499" s="1026">
        <f>$C$15</f>
        <v>0.49</v>
      </c>
      <c r="AO499" s="13"/>
      <c r="AP499" s="13"/>
    </row>
    <row r="500" spans="1:42">
      <c r="A500" s="751" t="s">
        <v>1271</v>
      </c>
      <c r="B500" s="162"/>
      <c r="C500" s="751" t="s">
        <v>1272</v>
      </c>
      <c r="D500" s="751"/>
      <c r="E500" s="157"/>
      <c r="F500" s="751" t="s">
        <v>1273</v>
      </c>
      <c r="G500" s="162"/>
      <c r="H500" s="1116"/>
      <c r="J500" s="532"/>
      <c r="K500" s="533"/>
      <c r="W500" s="1026" t="s">
        <v>1252</v>
      </c>
      <c r="X500" s="1026">
        <v>0.52</v>
      </c>
      <c r="AO500" s="13"/>
      <c r="AP500" s="13"/>
    </row>
    <row r="501" spans="1:42">
      <c r="A501" s="149" t="s">
        <v>121</v>
      </c>
      <c r="B501" s="162"/>
      <c r="C501" s="157" t="s">
        <v>122</v>
      </c>
      <c r="J501" s="532"/>
      <c r="K501" s="533"/>
      <c r="AO501" s="13"/>
      <c r="AP501" s="13"/>
    </row>
    <row r="502" spans="1:42" ht="15.75" thickBot="1">
      <c r="A502" s="187"/>
      <c r="B502" s="157"/>
      <c r="C502" s="148" t="s">
        <v>31</v>
      </c>
      <c r="J502" s="532"/>
      <c r="K502" s="1850" t="s">
        <v>1274</v>
      </c>
      <c r="L502" s="1850"/>
      <c r="M502" s="1850"/>
      <c r="N502" s="898"/>
      <c r="O502" s="899"/>
      <c r="P502" s="459"/>
      <c r="U502" s="627"/>
      <c r="V502" s="627"/>
      <c r="W502" s="627"/>
      <c r="X502" s="627"/>
      <c r="Y502" s="627"/>
      <c r="Z502" s="627"/>
      <c r="AA502" s="614">
        <v>0.3</v>
      </c>
      <c r="AB502" s="628">
        <v>0.41</v>
      </c>
      <c r="AC502" s="628"/>
      <c r="AD502" s="1851"/>
      <c r="AE502" s="188"/>
      <c r="AF502" s="188"/>
      <c r="AG502" s="1866"/>
      <c r="AH502" s="1851"/>
      <c r="AO502" s="13"/>
      <c r="AP502" s="13"/>
    </row>
    <row r="503" spans="1:42" ht="60.75" thickBot="1">
      <c r="A503" s="187"/>
      <c r="B503" s="189" t="s">
        <v>10</v>
      </c>
      <c r="C503" s="190" t="s">
        <v>11</v>
      </c>
      <c r="D503" s="190" t="s">
        <v>12</v>
      </c>
      <c r="E503" s="190" t="s">
        <v>13</v>
      </c>
      <c r="F503" s="190" t="s">
        <v>14</v>
      </c>
      <c r="G503" s="191" t="s">
        <v>15</v>
      </c>
      <c r="H503" s="347" t="s">
        <v>1090</v>
      </c>
      <c r="I503" s="348">
        <f>$C$15</f>
        <v>0.49</v>
      </c>
      <c r="J503" s="873">
        <f>$C$15</f>
        <v>0.49</v>
      </c>
      <c r="K503" s="548" t="s">
        <v>15</v>
      </c>
      <c r="L503" s="423" t="s">
        <v>12</v>
      </c>
      <c r="M503" s="196" t="s">
        <v>1091</v>
      </c>
      <c r="N503" s="549" t="s">
        <v>993</v>
      </c>
      <c r="O503" s="424" t="s">
        <v>1092</v>
      </c>
      <c r="P503" s="772" t="s">
        <v>1092</v>
      </c>
      <c r="Q503" s="200" t="s">
        <v>1093</v>
      </c>
      <c r="R503" s="201" t="s">
        <v>1094</v>
      </c>
      <c r="S503" s="350" t="s">
        <v>1095</v>
      </c>
      <c r="T503" s="1117" t="s">
        <v>1095</v>
      </c>
      <c r="U503" s="204" t="s">
        <v>1096</v>
      </c>
      <c r="V503" s="205" t="s">
        <v>1093</v>
      </c>
      <c r="W503" s="206" t="s">
        <v>1094</v>
      </c>
      <c r="X503" s="207" t="s">
        <v>1097</v>
      </c>
      <c r="Y503" s="208">
        <f>$X$500</f>
        <v>0.52</v>
      </c>
      <c r="Z503" s="207" t="s">
        <v>1098</v>
      </c>
      <c r="AA503" s="209" t="s">
        <v>1099</v>
      </c>
      <c r="AB503" s="209" t="s">
        <v>1100</v>
      </c>
      <c r="AC503" s="210" t="s">
        <v>1092</v>
      </c>
      <c r="AD503" s="211" t="s">
        <v>1101</v>
      </c>
      <c r="AE503" s="209" t="s">
        <v>1102</v>
      </c>
      <c r="AF503" s="208" t="s">
        <v>1103</v>
      </c>
      <c r="AG503" s="1867" t="s">
        <v>1104</v>
      </c>
      <c r="AH503" s="213" t="s">
        <v>1116</v>
      </c>
      <c r="AI503" s="220" t="s">
        <v>1106</v>
      </c>
      <c r="AJ503" s="483" t="s">
        <v>1107</v>
      </c>
      <c r="AK503" s="484" t="s">
        <v>1108</v>
      </c>
      <c r="AL503" s="221" t="s">
        <v>1109</v>
      </c>
      <c r="AM503" s="221" t="s">
        <v>1175</v>
      </c>
      <c r="AN503" s="221" t="s">
        <v>1176</v>
      </c>
      <c r="AO503" s="13"/>
      <c r="AP503" s="13"/>
    </row>
    <row r="504" spans="1:42" ht="15.75">
      <c r="A504" s="271"/>
      <c r="B504" s="222" t="s">
        <v>369</v>
      </c>
      <c r="C504" s="223" t="s">
        <v>190</v>
      </c>
      <c r="D504" s="224">
        <v>437</v>
      </c>
      <c r="E504" s="223">
        <v>5</v>
      </c>
      <c r="F504" s="224">
        <v>60</v>
      </c>
      <c r="G504" s="396">
        <v>494</v>
      </c>
      <c r="H504" s="397">
        <f>G504*(1+$H$33)</f>
        <v>528.58000000000004</v>
      </c>
      <c r="I504" s="397">
        <f>H504-H504*$J$503</f>
        <v>269.57580000000002</v>
      </c>
      <c r="J504" s="1039">
        <f>G504-G504*$J$503</f>
        <v>251.94</v>
      </c>
      <c r="K504" s="1118">
        <v>672</v>
      </c>
      <c r="L504" s="808">
        <v>431</v>
      </c>
      <c r="M504" s="1119">
        <f>L504/D504*100%</f>
        <v>0.98627002288329524</v>
      </c>
      <c r="N504" s="765">
        <f>K504-(K504*$O$33)</f>
        <v>336</v>
      </c>
      <c r="O504" s="1120">
        <f>((N504/J504)-1)*100%</f>
        <v>0.33365086925458454</v>
      </c>
      <c r="P504" s="1121">
        <f>((N504/I504)-1)*100%</f>
        <v>0.24640268154634049</v>
      </c>
      <c r="Q504" s="326">
        <v>4.87</v>
      </c>
      <c r="R504" s="258">
        <f>Q504*$R$33</f>
        <v>229.05071000000001</v>
      </c>
      <c r="S504" s="259">
        <f>((J504-R504)/J504)*100%</f>
        <v>9.085214733666741E-2</v>
      </c>
      <c r="T504" s="325">
        <f>((I504-R504)/I504)*100%</f>
        <v>0.15032910966043689</v>
      </c>
      <c r="U504" s="238">
        <v>3.8849999999999998</v>
      </c>
      <c r="V504" s="239">
        <f>U504*$X$31</f>
        <v>4.6619999999999999</v>
      </c>
      <c r="W504" s="239">
        <f>V504*$R$33</f>
        <v>219.26784599999999</v>
      </c>
      <c r="X504" s="240">
        <f>(ROUND(W504/(1-$AA$502),0))</f>
        <v>313</v>
      </c>
      <c r="Y504" s="239">
        <f>Z504*(1-$X$500)</f>
        <v>294.71999999999997</v>
      </c>
      <c r="Z504" s="240">
        <f>ROUND(X504/(1-$X$499),0)</f>
        <v>614</v>
      </c>
      <c r="AA504" s="241">
        <f>((X504-W504)/X504)*100%</f>
        <v>0.29946375079872206</v>
      </c>
      <c r="AB504" s="241">
        <f>((Y504-W504)/Y504)*100%</f>
        <v>0.25601300895765466</v>
      </c>
      <c r="AC504" s="265">
        <f>((N504/Y504)-1)*100%</f>
        <v>0.14006514657980462</v>
      </c>
      <c r="AD504" s="1004">
        <f>((N504*0.96-W504)/(N504*0.96))*100%</f>
        <v>0.32022617187500002</v>
      </c>
      <c r="AE504" s="238">
        <f>N504/$R$33</f>
        <v>7.1439202262241404</v>
      </c>
      <c r="AF504" s="239">
        <f>(V504/(1-$AA$502))</f>
        <v>6.66</v>
      </c>
      <c r="AG504" s="1868">
        <v>13.06</v>
      </c>
      <c r="AH504" s="244">
        <f>((AF504-V504)/AF504)*100%</f>
        <v>0.30000000000000004</v>
      </c>
      <c r="AI504" s="866">
        <f>AJ504/$AJ$506</f>
        <v>0.98166825245797651</v>
      </c>
      <c r="AJ504" s="563">
        <f>VLOOKUP($B504,[1]Статистика!$B:$D,3,FALSE)</f>
        <v>15476</v>
      </c>
      <c r="AK504" s="865">
        <f>AJ504*Q504*S504</f>
        <v>6847.3555427276297</v>
      </c>
      <c r="AL504" s="866">
        <f>AK504/$AK$506</f>
        <v>0.94286558981371804</v>
      </c>
      <c r="AM504" s="92">
        <f>AJ504/$AJ$515</f>
        <v>0.98005192831359633</v>
      </c>
      <c r="AN504" s="92">
        <f>AK504/$AK$515</f>
        <v>0.94627530788279413</v>
      </c>
      <c r="AO504" s="13"/>
      <c r="AP504" s="13"/>
    </row>
    <row r="505" spans="1:42" ht="16.5" thickBot="1">
      <c r="A505" s="187"/>
      <c r="B505" s="274" t="s">
        <v>370</v>
      </c>
      <c r="C505" s="275" t="s">
        <v>192</v>
      </c>
      <c r="D505" s="276">
        <v>446</v>
      </c>
      <c r="E505" s="275">
        <v>5</v>
      </c>
      <c r="F505" s="276">
        <v>60</v>
      </c>
      <c r="G505" s="339">
        <v>694</v>
      </c>
      <c r="H505" s="360">
        <f>G505*(1+$H$33)</f>
        <v>742.58</v>
      </c>
      <c r="I505" s="360">
        <f>H505-H505*$J$503</f>
        <v>378.7158</v>
      </c>
      <c r="J505" s="887">
        <f>G505-G505*$J$503</f>
        <v>353.94</v>
      </c>
      <c r="K505" s="900">
        <v>850</v>
      </c>
      <c r="L505" s="341">
        <v>450</v>
      </c>
      <c r="M505" s="896">
        <f>L505/D505*100%</f>
        <v>1.0089686098654709</v>
      </c>
      <c r="N505" s="767">
        <f>K505-(K505*$O$33)</f>
        <v>425</v>
      </c>
      <c r="O505" s="901">
        <f>((N505/J505)-1)*100%</f>
        <v>0.2007684918347743</v>
      </c>
      <c r="P505" s="1122">
        <f>((N505/I505)-1)*100%</f>
        <v>0.12221354377081695</v>
      </c>
      <c r="Q505" s="344">
        <v>5.5938947368421035</v>
      </c>
      <c r="R505" s="285">
        <f>Q505*$R$33</f>
        <v>263.09765115789463</v>
      </c>
      <c r="S505" s="286">
        <f>((J505-R505)/J505)*100%</f>
        <v>0.25666030638556075</v>
      </c>
      <c r="T505" s="1089">
        <f>((I505-R505)/I505)*100%</f>
        <v>0.3052900059678138</v>
      </c>
      <c r="U505" s="261">
        <v>4.0439999999999996</v>
      </c>
      <c r="V505" s="239">
        <f>U505*$X$31</f>
        <v>4.8527999999999993</v>
      </c>
      <c r="W505" s="262">
        <f>V505*$R$33</f>
        <v>228.24174239999996</v>
      </c>
      <c r="X505" s="240">
        <f>(ROUND(W505/(1-$AB$502),0))</f>
        <v>387</v>
      </c>
      <c r="Y505" s="239">
        <f>Z505*(1-$X$500)</f>
        <v>364.32</v>
      </c>
      <c r="Z505" s="240">
        <f>ROUND(X505/(1-$X$499),0)</f>
        <v>759</v>
      </c>
      <c r="AA505" s="264">
        <f>((X505-W505)/X505)*100%</f>
        <v>0.41022805581395361</v>
      </c>
      <c r="AB505" s="241">
        <f>((Y505-W505)/Y505)*100%</f>
        <v>0.37351300395256926</v>
      </c>
      <c r="AC505" s="242">
        <f>((N505/Y505)-1)*100%</f>
        <v>0.16655687307861222</v>
      </c>
      <c r="AD505" s="1004">
        <f>((N505*0.96-W505)/(N505*0.96))*100%</f>
        <v>0.44058396470588246</v>
      </c>
      <c r="AE505" s="261">
        <f>N505/$R$33</f>
        <v>9.0362086194799396</v>
      </c>
      <c r="AF505" s="239">
        <f>(V505/(1-$AB$502))</f>
        <v>8.2250847457627092</v>
      </c>
      <c r="AG505" s="1868">
        <v>16.13</v>
      </c>
      <c r="AH505" s="267">
        <f>((AF505-V505)/AF505)*100%</f>
        <v>0.40999999999999986</v>
      </c>
      <c r="AI505" s="506">
        <f>AJ505/$AJ$506</f>
        <v>1.833174754202347E-2</v>
      </c>
      <c r="AJ505" s="333">
        <f>VLOOKUP($B505,[1]Статистика!$B:$D,3,FALSE)</f>
        <v>289</v>
      </c>
      <c r="AK505" s="859">
        <f>AJ505*Q505*S505</f>
        <v>414.92618300642988</v>
      </c>
      <c r="AL505" s="506">
        <f>AK505/$AK$506</f>
        <v>5.7134410186282028E-2</v>
      </c>
      <c r="AM505" s="77">
        <f>AJ505/$AJ$515</f>
        <v>1.8301564182129061E-2</v>
      </c>
      <c r="AN505" s="77">
        <f>AK505/$AK$515</f>
        <v>5.7341027367864256E-2</v>
      </c>
      <c r="AO505" s="13"/>
      <c r="AP505" s="13"/>
    </row>
    <row r="506" spans="1:42" ht="15.75" thickBot="1">
      <c r="A506" s="187"/>
      <c r="C506" s="413"/>
      <c r="D506" s="414"/>
      <c r="E506" s="413"/>
      <c r="F506" s="414"/>
      <c r="G506" s="827"/>
      <c r="H506" s="785"/>
      <c r="I506" s="785"/>
      <c r="J506" s="897"/>
      <c r="K506" s="533"/>
      <c r="P506" s="1123"/>
      <c r="Q506" s="1091"/>
      <c r="R506" s="1092"/>
      <c r="S506" s="364"/>
      <c r="T506" s="365"/>
      <c r="U506" s="366"/>
      <c r="V506" s="366"/>
      <c r="W506" s="366"/>
      <c r="X506" s="366"/>
      <c r="Y506" s="366"/>
      <c r="Z506" s="366"/>
      <c r="AA506" s="367"/>
      <c r="AB506" s="367"/>
      <c r="AC506" s="367"/>
      <c r="AD506" s="367"/>
      <c r="AE506" s="366"/>
      <c r="AF506" s="366"/>
      <c r="AG506" s="1872"/>
      <c r="AH506" s="367"/>
      <c r="AI506" s="512">
        <f>S504*AI504+S505*AI505</f>
        <v>9.3891700648759402E-2</v>
      </c>
      <c r="AJ506" s="513">
        <f>SUM(AJ504:AJ505)</f>
        <v>15765</v>
      </c>
      <c r="AK506" s="514">
        <f>SUM(AK504:AK505)</f>
        <v>7262.2817257340594</v>
      </c>
      <c r="AM506" s="307">
        <f>SUM(AM504:AM505)</f>
        <v>0.99835349249572536</v>
      </c>
      <c r="AN506" s="307">
        <f>SUM(AN504:AN505)</f>
        <v>1.0036163352506584</v>
      </c>
      <c r="AO506" s="13"/>
      <c r="AP506" s="13"/>
    </row>
    <row r="507" spans="1:42">
      <c r="A507" s="187"/>
      <c r="C507" s="849" t="s">
        <v>1275</v>
      </c>
      <c r="D507" s="849"/>
      <c r="E507" s="849"/>
      <c r="F507" s="849"/>
      <c r="G507" s="849"/>
      <c r="H507" s="1841"/>
      <c r="J507" s="897"/>
      <c r="K507" s="533"/>
      <c r="AO507" s="13"/>
      <c r="AP507" s="13"/>
    </row>
    <row r="508" spans="1:42" ht="15.75" thickBot="1">
      <c r="A508" s="187"/>
      <c r="B508" s="157"/>
      <c r="C508" s="148" t="s">
        <v>31</v>
      </c>
      <c r="J508" s="532"/>
      <c r="K508" s="1850" t="s">
        <v>1276</v>
      </c>
      <c r="L508" s="1850"/>
      <c r="M508" s="1850"/>
      <c r="N508" s="898"/>
      <c r="O508" s="899"/>
      <c r="P508" s="459"/>
      <c r="U508" s="627"/>
      <c r="V508" s="627"/>
      <c r="W508" s="627"/>
      <c r="X508" s="627"/>
      <c r="Y508" s="627"/>
      <c r="Z508" s="627"/>
      <c r="AA508" s="614">
        <v>0.14000000000000001</v>
      </c>
      <c r="AB508" s="628">
        <v>0.16</v>
      </c>
      <c r="AC508" s="628">
        <v>0.11</v>
      </c>
      <c r="AD508" s="1851"/>
      <c r="AE508" s="188"/>
      <c r="AF508" s="188"/>
      <c r="AG508" s="1866"/>
      <c r="AH508" s="1851"/>
      <c r="AO508" s="13"/>
      <c r="AP508" s="13"/>
    </row>
    <row r="509" spans="1:42" ht="60.75" thickBot="1">
      <c r="A509" s="187"/>
      <c r="B509" s="189" t="s">
        <v>10</v>
      </c>
      <c r="C509" s="190" t="s">
        <v>11</v>
      </c>
      <c r="D509" s="190" t="s">
        <v>12</v>
      </c>
      <c r="E509" s="190" t="s">
        <v>13</v>
      </c>
      <c r="F509" s="190" t="s">
        <v>14</v>
      </c>
      <c r="G509" s="191" t="s">
        <v>15</v>
      </c>
      <c r="H509" s="347" t="s">
        <v>1090</v>
      </c>
      <c r="I509" s="347">
        <f>$C$15</f>
        <v>0.49</v>
      </c>
      <c r="J509" s="873">
        <f>$C$15</f>
        <v>0.49</v>
      </c>
      <c r="K509" s="1124" t="s">
        <v>15</v>
      </c>
      <c r="L509" s="423" t="s">
        <v>12</v>
      </c>
      <c r="M509" s="196" t="s">
        <v>1091</v>
      </c>
      <c r="N509" s="549" t="s">
        <v>993</v>
      </c>
      <c r="O509" s="198" t="s">
        <v>1092</v>
      </c>
      <c r="P509" s="199" t="s">
        <v>1092</v>
      </c>
      <c r="Q509" s="1125" t="s">
        <v>1093</v>
      </c>
      <c r="R509" s="876" t="s">
        <v>1094</v>
      </c>
      <c r="S509" s="1126" t="s">
        <v>1095</v>
      </c>
      <c r="T509" s="1117" t="s">
        <v>1095</v>
      </c>
      <c r="U509" s="204" t="s">
        <v>1096</v>
      </c>
      <c r="V509" s="205" t="s">
        <v>1093</v>
      </c>
      <c r="W509" s="206" t="s">
        <v>1094</v>
      </c>
      <c r="X509" s="207" t="s">
        <v>1097</v>
      </c>
      <c r="Y509" s="208">
        <f>$X$500</f>
        <v>0.52</v>
      </c>
      <c r="Z509" s="207" t="s">
        <v>1098</v>
      </c>
      <c r="AA509" s="209" t="s">
        <v>1099</v>
      </c>
      <c r="AB509" s="209" t="s">
        <v>1100</v>
      </c>
      <c r="AC509" s="210" t="s">
        <v>1092</v>
      </c>
      <c r="AD509" s="211" t="s">
        <v>1101</v>
      </c>
      <c r="AE509" s="209" t="s">
        <v>1102</v>
      </c>
      <c r="AF509" s="208" t="s">
        <v>1103</v>
      </c>
      <c r="AG509" s="1867" t="s">
        <v>1104</v>
      </c>
      <c r="AH509" s="213" t="s">
        <v>1116</v>
      </c>
      <c r="AI509" s="220" t="s">
        <v>1106</v>
      </c>
      <c r="AJ509" s="483" t="s">
        <v>1107</v>
      </c>
      <c r="AK509" s="484" t="s">
        <v>1108</v>
      </c>
      <c r="AL509" s="221" t="s">
        <v>1109</v>
      </c>
      <c r="AM509" s="221" t="s">
        <v>1175</v>
      </c>
      <c r="AN509" s="221" t="s">
        <v>1176</v>
      </c>
      <c r="AO509" s="13"/>
      <c r="AP509" s="13"/>
    </row>
    <row r="510" spans="1:42" ht="15.75">
      <c r="A510" s="187"/>
      <c r="B510" s="222" t="s">
        <v>848</v>
      </c>
      <c r="C510" s="223" t="s">
        <v>190</v>
      </c>
      <c r="D510" s="224">
        <v>650</v>
      </c>
      <c r="E510" s="223">
        <v>5</v>
      </c>
      <c r="F510" s="224">
        <v>50</v>
      </c>
      <c r="G510" s="1127">
        <v>720</v>
      </c>
      <c r="H510" s="397">
        <f>G510*(1+$H$33)</f>
        <v>770.40000000000009</v>
      </c>
      <c r="I510" s="397">
        <f>H510-H510*$J$503</f>
        <v>392.90400000000005</v>
      </c>
      <c r="J510" s="1039">
        <f>G510-G510*$J$503</f>
        <v>367.2</v>
      </c>
      <c r="K510" s="691">
        <v>1520</v>
      </c>
      <c r="L510" s="808">
        <v>610</v>
      </c>
      <c r="M510" s="1119">
        <f>L510/D510*100%</f>
        <v>0.93846153846153846</v>
      </c>
      <c r="N510" s="879">
        <f>K510-(K510*$O$33)</f>
        <v>760</v>
      </c>
      <c r="O510" s="236">
        <f>((N510/J510)-1)*100%</f>
        <v>1.0697167755991286</v>
      </c>
      <c r="P510" s="1128">
        <f>((N510/I510)-1)*100%</f>
        <v>0.93431474355058719</v>
      </c>
      <c r="Q510" s="1129">
        <v>8.5098744769874486</v>
      </c>
      <c r="R510" s="235">
        <f>Q510*$R$33</f>
        <v>400.24492627615069</v>
      </c>
      <c r="S510" s="236">
        <f>((J510-R510)/J510)*100%</f>
        <v>-8.9991629292349412E-2</v>
      </c>
      <c r="T510" s="325">
        <f>((I510-R510)/I510)*100%</f>
        <v>-1.868376569378433E-2</v>
      </c>
      <c r="U510" s="238">
        <v>6.8772700000000002</v>
      </c>
      <c r="V510" s="239">
        <f>U510*$X$31</f>
        <v>8.2527240000000006</v>
      </c>
      <c r="W510" s="239">
        <f>V510*$R$33</f>
        <v>388.15036789200002</v>
      </c>
      <c r="X510" s="240">
        <f>(ROUND(W510/(1-$AA$508),0))</f>
        <v>451</v>
      </c>
      <c r="Y510" s="239">
        <f>Z510*(1-$X$500)</f>
        <v>424.32</v>
      </c>
      <c r="Z510" s="240">
        <f>ROUND(X510/(1-$X$499),0)</f>
        <v>884</v>
      </c>
      <c r="AA510" s="241">
        <f>((X510-W510)/X510)*100%</f>
        <v>0.13935616875388021</v>
      </c>
      <c r="AB510" s="241">
        <f>((Y510-W510)/Y510)*100%</f>
        <v>8.5241402969456953E-2</v>
      </c>
      <c r="AC510" s="265">
        <f>((N510/Y510)-1)*100%</f>
        <v>0.79110105580693824</v>
      </c>
      <c r="AD510" s="1004">
        <f>((N510*0.96-W510)/(N510*0.96))*100%</f>
        <v>0.46799565804276316</v>
      </c>
      <c r="AE510" s="238">
        <f>N510/$R$33</f>
        <v>16.158867178364126</v>
      </c>
      <c r="AF510" s="239">
        <f>(V510/(1-$AA$508))</f>
        <v>9.5961906976744196</v>
      </c>
      <c r="AG510" s="1868">
        <v>18.82</v>
      </c>
      <c r="AH510" s="244">
        <f>((AF510-V510)/AF510)*100%</f>
        <v>0.14000000000000001</v>
      </c>
      <c r="AI510" s="866">
        <f>AJ510/$AJ$513</f>
        <v>0.92307692307692313</v>
      </c>
      <c r="AJ510" s="338">
        <f>VLOOKUP($B510,[1]Статистика!$B:$D,3,FALSE)</f>
        <v>24</v>
      </c>
      <c r="AK510" s="865">
        <f>AJ510*Q510*S510</f>
        <v>-18.379619262179528</v>
      </c>
      <c r="AL510" s="866">
        <f>AK510/$AK$513</f>
        <v>0.70236434182071084</v>
      </c>
      <c r="AM510" s="92">
        <f>AJ510/$AJ$515</f>
        <v>1.5198530808688494E-3</v>
      </c>
      <c r="AN510" s="92">
        <f>AK510/$AK$515</f>
        <v>-2.5399849281317337E-3</v>
      </c>
      <c r="AO510" s="13"/>
      <c r="AP510" s="13"/>
    </row>
    <row r="511" spans="1:42" ht="16.5" thickBot="1">
      <c r="A511" s="187"/>
      <c r="B511" s="249" t="s">
        <v>849</v>
      </c>
      <c r="C511" s="250" t="s">
        <v>192</v>
      </c>
      <c r="D511" s="251">
        <v>1110</v>
      </c>
      <c r="E511" s="250">
        <v>2</v>
      </c>
      <c r="F511" s="251">
        <v>30</v>
      </c>
      <c r="G511" s="1130">
        <v>990</v>
      </c>
      <c r="H511" s="357">
        <f>G511*(1+$H$33)</f>
        <v>1059.3</v>
      </c>
      <c r="I511" s="357">
        <f>H511-H511*$J$503</f>
        <v>540.24299999999994</v>
      </c>
      <c r="J511" s="884">
        <f>G511-G511*$J$503</f>
        <v>504.90000000000003</v>
      </c>
      <c r="K511" s="340">
        <v>1888</v>
      </c>
      <c r="L511" s="341">
        <v>960</v>
      </c>
      <c r="M511" s="896">
        <f>L511/D511*100%</f>
        <v>0.86486486486486491</v>
      </c>
      <c r="N511" s="767">
        <f>K511-(K511*$O$33)</f>
        <v>944</v>
      </c>
      <c r="O511" s="1131">
        <f>((N511/J511)-1)*100%</f>
        <v>0.86967716379481064</v>
      </c>
      <c r="P511" s="696">
        <f>((N511/I511)-1)*100%</f>
        <v>0.74736183532225331</v>
      </c>
      <c r="Q511" s="702">
        <v>13.77080944350759</v>
      </c>
      <c r="R511" s="382">
        <f>Q511*$R$33</f>
        <v>647.68248055649246</v>
      </c>
      <c r="S511" s="383">
        <f>((J511-R511)/J511)*100%</f>
        <v>-0.28279358398988397</v>
      </c>
      <c r="T511" s="1132">
        <f>((I511-R511)/I511)*100%</f>
        <v>-0.19887250840176093</v>
      </c>
      <c r="U511" s="261">
        <v>8.6876999999999995</v>
      </c>
      <c r="V511" s="239">
        <f>U511*$X$31</f>
        <v>10.425239999999999</v>
      </c>
      <c r="W511" s="239">
        <f>V511*$R$33</f>
        <v>490.33031291999993</v>
      </c>
      <c r="X511" s="240">
        <f>(ROUND(W511/(1-$AB$508),0))</f>
        <v>584</v>
      </c>
      <c r="Y511" s="239">
        <f>Z511*(1-$X$500)</f>
        <v>549.6</v>
      </c>
      <c r="Z511" s="240">
        <f>ROUND(X511/(1-$X$499),0)</f>
        <v>1145</v>
      </c>
      <c r="AA511" s="241">
        <f>((X511-W511)/X511)*100%</f>
        <v>0.16039329979452066</v>
      </c>
      <c r="AB511" s="241">
        <f>((Y511-W511)/Y511)*100%</f>
        <v>0.10784149759825344</v>
      </c>
      <c r="AC511" s="265">
        <f>((N511/Y511)-1)*100%</f>
        <v>0.71761280931586602</v>
      </c>
      <c r="AD511" s="1004">
        <f>((N511*0.96-W511)/(N511*0.96))*100%</f>
        <v>0.45893989128707635</v>
      </c>
      <c r="AE511" s="238">
        <f>N511/$R$33</f>
        <v>20.071013968915441</v>
      </c>
      <c r="AF511" s="239">
        <f>(V511/(1-$AB$508))</f>
        <v>12.411</v>
      </c>
      <c r="AG511" s="1868">
        <v>24.34</v>
      </c>
      <c r="AH511" s="244">
        <f>((AF511-V511)/AF511)*100%</f>
        <v>0.16000000000000009</v>
      </c>
      <c r="AI511" s="506">
        <f>AJ511/$AJ$513</f>
        <v>7.6923076923076927E-2</v>
      </c>
      <c r="AJ511" s="333">
        <f>VLOOKUP($B511,[1]Статистика!$B:$D,3,FALSE)</f>
        <v>2</v>
      </c>
      <c r="AK511" s="859">
        <f>AJ511*Q511*S511</f>
        <v>-7.7885931139425013</v>
      </c>
      <c r="AL511" s="506">
        <f>AK511/$AK$513</f>
        <v>0.29763565817928922</v>
      </c>
      <c r="AM511" s="77">
        <f>AJ511/$AJ$515</f>
        <v>1.2665442340573744E-4</v>
      </c>
      <c r="AN511" s="77">
        <f>AK511/$AK$515</f>
        <v>-1.0763503225266825E-3</v>
      </c>
      <c r="AO511" s="13"/>
      <c r="AP511" s="13"/>
    </row>
    <row r="512" spans="1:42" ht="15.75" thickBot="1">
      <c r="A512" s="187"/>
      <c r="B512" s="274" t="s">
        <v>850</v>
      </c>
      <c r="C512" s="275" t="s">
        <v>194</v>
      </c>
      <c r="D512" s="276">
        <v>1195</v>
      </c>
      <c r="E512" s="275">
        <v>1</v>
      </c>
      <c r="F512" s="276">
        <v>20</v>
      </c>
      <c r="G512" s="917">
        <v>1110</v>
      </c>
      <c r="H512" s="357">
        <f>G512*(1+$H$33)</f>
        <v>1187.7</v>
      </c>
      <c r="I512" s="357">
        <f>H512-H512*$J$503</f>
        <v>605.72700000000009</v>
      </c>
      <c r="J512" s="884">
        <f>G512-G512*$J$503</f>
        <v>566.1</v>
      </c>
      <c r="K512" s="779"/>
      <c r="L512" s="779"/>
      <c r="M512" s="780"/>
      <c r="N512" s="781"/>
      <c r="O512" s="1043"/>
      <c r="P512" s="1133">
        <f>AVERAGE(P510:P511)</f>
        <v>0.84083828943642025</v>
      </c>
      <c r="Q512" s="1134">
        <v>14.799920844327177</v>
      </c>
      <c r="R512" s="390">
        <f>Q512*$R$33</f>
        <v>696.08467707124009</v>
      </c>
      <c r="S512" s="1131">
        <f>((J512-R512)/J512)*100%</f>
        <v>-0.22961433858194677</v>
      </c>
      <c r="T512" s="935">
        <f>((I512-R512)/I512)*100%</f>
        <v>-0.14917227904854827</v>
      </c>
      <c r="U512" s="261">
        <v>11.95002</v>
      </c>
      <c r="V512" s="239">
        <f>U512*$X$31</f>
        <v>14.340024</v>
      </c>
      <c r="W512" s="239">
        <f>V512*$R$33</f>
        <v>674.45434879200002</v>
      </c>
      <c r="X512" s="240">
        <f>(ROUND(W512/(1-$AC$508),0))</f>
        <v>758</v>
      </c>
      <c r="Y512" s="239">
        <f>Z512*(1-$X$500)</f>
        <v>713.28</v>
      </c>
      <c r="Z512" s="240">
        <f>ROUND(X512/(1-$X$499),0)</f>
        <v>1486</v>
      </c>
      <c r="AA512" s="241">
        <f>((X512-W512)/X512)*100%</f>
        <v>0.1102185372137203</v>
      </c>
      <c r="AB512" s="241">
        <f>((Y512-W512)/Y512)*100%</f>
        <v>5.4432552725437351E-2</v>
      </c>
      <c r="AC512" s="265"/>
      <c r="AD512" s="1004"/>
      <c r="AE512" s="238"/>
      <c r="AF512" s="239">
        <f>(V512/(1-$AC$508))</f>
        <v>16.112386516853931</v>
      </c>
      <c r="AG512" s="1868">
        <v>31.59</v>
      </c>
      <c r="AH512" s="244">
        <f>((AF512-V512)/AF512)*100%</f>
        <v>0.10999999999999995</v>
      </c>
      <c r="AI512" s="506">
        <f>AJ512/$AJ$513</f>
        <v>0</v>
      </c>
      <c r="AJ512" s="944">
        <v>0</v>
      </c>
      <c r="AK512" s="859">
        <f>AJ512*Q512*S512</f>
        <v>0</v>
      </c>
      <c r="AL512" s="506">
        <f>AK512/$AK$513</f>
        <v>0</v>
      </c>
      <c r="AM512" s="77">
        <f>AJ512/$AJ$515</f>
        <v>0</v>
      </c>
      <c r="AN512" s="77">
        <f>AK512/$AK$515</f>
        <v>0</v>
      </c>
      <c r="AO512" s="13"/>
      <c r="AP512" s="13"/>
    </row>
    <row r="513" spans="1:42" ht="15.75" thickBot="1">
      <c r="G513" s="1135">
        <v>-0.25</v>
      </c>
      <c r="H513" s="1136"/>
      <c r="I513" s="1137"/>
      <c r="J513" s="1138">
        <v>-0.03</v>
      </c>
      <c r="N513" s="1139" t="s">
        <v>1133</v>
      </c>
      <c r="O513" s="1140">
        <f>AVERAGE(S504:S505,S510:S512)</f>
        <v>-5.0977419628390398E-2</v>
      </c>
      <c r="P513" s="771"/>
      <c r="S513" s="364"/>
      <c r="T513" s="365"/>
      <c r="U513" s="366"/>
      <c r="V513" s="366"/>
      <c r="W513" s="366"/>
      <c r="X513" s="366"/>
      <c r="Y513" s="366"/>
      <c r="Z513" s="366"/>
      <c r="AA513" s="367"/>
      <c r="AB513" s="367"/>
      <c r="AC513" s="367"/>
      <c r="AD513" s="367"/>
      <c r="AE513" s="366"/>
      <c r="AF513" s="366"/>
      <c r="AG513" s="1872"/>
      <c r="AH513" s="367"/>
      <c r="AI513" s="512">
        <f>S510*AI510+S511*AI511+S512*AI512</f>
        <v>-0.10482254888446746</v>
      </c>
      <c r="AJ513" s="513">
        <f>SUM(AJ510:AJ512)</f>
        <v>26</v>
      </c>
      <c r="AK513" s="514">
        <f>SUM(AK510:AK512)</f>
        <v>-26.168212376122028</v>
      </c>
      <c r="AM513" s="307">
        <f>SUM(AM510:AM512)</f>
        <v>1.6465075042745869E-3</v>
      </c>
      <c r="AN513" s="307">
        <f>SUM(AN510:AN512)</f>
        <v>-3.6163352506584159E-3</v>
      </c>
      <c r="AO513" s="13"/>
      <c r="AP513" s="13"/>
    </row>
    <row r="514" spans="1:42" ht="42.75" customHeight="1" thickBot="1">
      <c r="A514" s="834" t="s">
        <v>693</v>
      </c>
      <c r="B514" s="893"/>
      <c r="C514" s="893"/>
      <c r="D514" s="540"/>
      <c r="E514" s="540"/>
      <c r="F514" s="158" t="s">
        <v>1077</v>
      </c>
      <c r="G514" s="1141"/>
      <c r="H514" s="1142"/>
      <c r="I514" s="587"/>
      <c r="J514" s="588"/>
      <c r="K514" s="936"/>
      <c r="L514" s="937"/>
      <c r="M514" s="938"/>
      <c r="N514" s="939"/>
      <c r="P514" s="1143">
        <f>AVERAGE(P504:P505,P510:P512)</f>
        <v>0.57822621872528368</v>
      </c>
      <c r="T514" s="892">
        <f>AVERAGE(T504:T505,T510:T512)</f>
        <v>1.7778112496831432E-2</v>
      </c>
      <c r="U514" s="2350" t="s">
        <v>1277</v>
      </c>
      <c r="V514" s="2331"/>
      <c r="W514" s="2331"/>
      <c r="X514" s="2331"/>
      <c r="Y514" s="2331"/>
      <c r="Z514" s="2351"/>
      <c r="AA514" s="1144">
        <f>AVERAGE(AA504:AA505,AA510:AA512)</f>
        <v>0.22393196247495933</v>
      </c>
      <c r="AB514" s="1144">
        <f>AVERAGE(AB504:AB505,AB510:AB512)</f>
        <v>0.17540829324067433</v>
      </c>
      <c r="AC514" s="1144">
        <f>AVERAGE(AC504:AC505,AC510:AC512)</f>
        <v>0.45383397119530527</v>
      </c>
      <c r="AD514" s="1144">
        <f>AVERAGE(AD504:AD505,AD510:AD512)</f>
        <v>0.42193642147768051</v>
      </c>
      <c r="AE514" s="1145"/>
      <c r="AF514" s="1145"/>
      <c r="AG514" s="1891"/>
      <c r="AH514" s="1146">
        <f>AVERAGE(AH504:AH505,AH510:AH512)</f>
        <v>0.22399999999999998</v>
      </c>
      <c r="AI514" s="2335" t="s">
        <v>1278</v>
      </c>
      <c r="AJ514" s="2336"/>
      <c r="AK514" s="2336"/>
      <c r="AL514" s="2336"/>
      <c r="AM514" s="2336"/>
      <c r="AN514" s="2337"/>
      <c r="AO514" s="13"/>
      <c r="AP514" s="13"/>
    </row>
    <row r="515" spans="1:42" ht="18.75">
      <c r="A515" s="934"/>
      <c r="B515" s="540"/>
      <c r="C515" s="540"/>
      <c r="D515" s="540"/>
      <c r="E515" s="531"/>
      <c r="F515" s="540"/>
      <c r="G515" s="540"/>
      <c r="H515" s="530"/>
      <c r="I515" s="587"/>
      <c r="J515" s="588"/>
      <c r="K515" s="936"/>
      <c r="L515" s="937"/>
      <c r="M515" s="938"/>
      <c r="N515" s="939"/>
      <c r="AI515" s="838">
        <f>AVERAGE(AI506,AI513)</f>
        <v>-5.4654241178540286E-3</v>
      </c>
      <c r="AJ515" s="839">
        <f>SUM(AJ506,AJ513)</f>
        <v>15791</v>
      </c>
      <c r="AK515" s="840">
        <f>SUM(AK506,AK513)</f>
        <v>7236.1135133579373</v>
      </c>
      <c r="AL515" s="841"/>
      <c r="AM515" s="842">
        <f>SUM(AM506,AM513)</f>
        <v>1</v>
      </c>
      <c r="AN515" s="842">
        <f>SUM(AN506,AN513)</f>
        <v>1</v>
      </c>
      <c r="AO515" s="13"/>
      <c r="AP515" s="13"/>
    </row>
    <row r="516" spans="1:42">
      <c r="A516" s="934"/>
      <c r="B516" s="540"/>
      <c r="C516" s="531" t="s">
        <v>1279</v>
      </c>
      <c r="D516" s="540"/>
      <c r="E516" s="540"/>
      <c r="F516" s="540"/>
      <c r="G516" s="540"/>
      <c r="H516" s="530"/>
      <c r="I516" s="587"/>
      <c r="J516" s="588"/>
      <c r="K516" s="936"/>
      <c r="L516" s="937"/>
      <c r="M516" s="938"/>
      <c r="N516" s="939"/>
      <c r="AO516" s="13"/>
      <c r="AP516" s="13"/>
    </row>
    <row r="517" spans="1:42">
      <c r="A517" s="1147" t="s">
        <v>1</v>
      </c>
      <c r="B517" s="540"/>
      <c r="C517" s="540"/>
      <c r="D517" s="540"/>
      <c r="E517" s="540"/>
      <c r="F517" s="540"/>
      <c r="G517" s="540"/>
      <c r="H517" s="530"/>
      <c r="I517" s="587"/>
      <c r="J517" s="588"/>
      <c r="K517" s="936"/>
      <c r="L517" s="937"/>
      <c r="M517" s="938"/>
      <c r="N517" s="939"/>
      <c r="AO517" s="13"/>
      <c r="AP517" s="13"/>
    </row>
    <row r="518" spans="1:42">
      <c r="A518" s="2356" t="s">
        <v>694</v>
      </c>
      <c r="B518" s="2356"/>
      <c r="C518" s="2356"/>
      <c r="D518" s="2356"/>
      <c r="E518" s="2356"/>
      <c r="F518" s="2356"/>
      <c r="G518" s="2356"/>
      <c r="H518" s="1148"/>
      <c r="I518" s="587"/>
      <c r="J518" s="588"/>
      <c r="K518" s="936"/>
      <c r="L518" s="937"/>
      <c r="M518" s="938"/>
      <c r="N518" s="939"/>
      <c r="AO518" s="13"/>
      <c r="AP518" s="13"/>
    </row>
    <row r="519" spans="1:42">
      <c r="A519" s="2356" t="s">
        <v>677</v>
      </c>
      <c r="B519" s="2356"/>
      <c r="C519" s="2356"/>
      <c r="D519" s="2356"/>
      <c r="E519" s="2356"/>
      <c r="F519" s="2356"/>
      <c r="G519" s="2356"/>
      <c r="H519" s="1148"/>
      <c r="I519" s="587"/>
      <c r="J519" s="588"/>
      <c r="K519" s="936"/>
      <c r="L519" s="937"/>
      <c r="M519" s="938"/>
      <c r="N519" s="939"/>
      <c r="AO519" s="13"/>
      <c r="AP519" s="13"/>
    </row>
    <row r="520" spans="1:42">
      <c r="A520" s="2356"/>
      <c r="B520" s="2356"/>
      <c r="C520" s="2356"/>
      <c r="D520" s="2356"/>
      <c r="E520" s="2356"/>
      <c r="F520" s="2356"/>
      <c r="G520" s="2356"/>
      <c r="H520" s="1148"/>
      <c r="I520" s="587"/>
      <c r="J520" s="588"/>
      <c r="K520" s="936"/>
      <c r="L520" s="937"/>
      <c r="M520" s="938"/>
      <c r="N520" s="939"/>
      <c r="AO520" s="13"/>
      <c r="AP520" s="13"/>
    </row>
    <row r="521" spans="1:42">
      <c r="A521" s="1147" t="s">
        <v>2</v>
      </c>
      <c r="B521" s="540"/>
      <c r="C521" s="1149"/>
      <c r="D521" s="540"/>
      <c r="E521" s="540"/>
      <c r="F521" s="540"/>
      <c r="G521" s="540"/>
      <c r="H521" s="530"/>
      <c r="I521" s="587"/>
      <c r="J521" s="588"/>
      <c r="K521" s="1843"/>
      <c r="L521" s="1843"/>
      <c r="M521" s="1843"/>
      <c r="N521" s="1844"/>
      <c r="W521" s="1026" t="s">
        <v>1251</v>
      </c>
      <c r="X521" s="1026">
        <f>$C$16</f>
        <v>0.47</v>
      </c>
      <c r="AO521" s="13"/>
      <c r="AP521" s="13"/>
    </row>
    <row r="522" spans="1:42">
      <c r="A522" s="2356" t="s">
        <v>678</v>
      </c>
      <c r="B522" s="2356"/>
      <c r="C522" s="2356"/>
      <c r="D522" s="2356"/>
      <c r="E522" s="2356"/>
      <c r="F522" s="2356"/>
      <c r="G522" s="2356"/>
      <c r="H522" s="1148"/>
      <c r="I522" s="587"/>
      <c r="J522" s="588"/>
      <c r="K522" s="936"/>
      <c r="L522" s="937"/>
      <c r="M522" s="938"/>
      <c r="N522" s="939"/>
      <c r="W522" s="1026" t="s">
        <v>1252</v>
      </c>
      <c r="X522" s="1026">
        <v>0.51</v>
      </c>
      <c r="AO522" s="13"/>
      <c r="AP522" s="13"/>
    </row>
    <row r="523" spans="1:42">
      <c r="A523" s="934"/>
      <c r="B523" s="540"/>
      <c r="C523" s="540"/>
      <c r="D523" s="540"/>
      <c r="E523" s="540"/>
      <c r="F523" s="540"/>
      <c r="G523" s="540"/>
      <c r="H523" s="530"/>
      <c r="I523" s="587"/>
      <c r="J523" s="588"/>
      <c r="K523" s="936"/>
      <c r="L523" s="937"/>
      <c r="M523" s="938"/>
      <c r="N523" s="939"/>
      <c r="AO523" s="13"/>
      <c r="AP523" s="13"/>
    </row>
    <row r="524" spans="1:42">
      <c r="A524" s="530" t="s">
        <v>679</v>
      </c>
      <c r="B524" s="531"/>
      <c r="C524" s="1150" t="s">
        <v>1279</v>
      </c>
      <c r="D524" s="540"/>
      <c r="E524" s="540"/>
      <c r="F524" s="540"/>
      <c r="G524" s="540"/>
      <c r="H524" s="530"/>
      <c r="I524" s="587"/>
      <c r="J524" s="588"/>
      <c r="K524" s="533"/>
      <c r="AO524" s="13"/>
      <c r="AP524" s="13"/>
    </row>
    <row r="525" spans="1:42" ht="15.75" thickBot="1">
      <c r="A525" s="934"/>
      <c r="B525" s="540"/>
      <c r="C525" s="540" t="s">
        <v>680</v>
      </c>
      <c r="D525" s="540"/>
      <c r="E525" s="540"/>
      <c r="F525" s="540"/>
      <c r="G525" s="540"/>
      <c r="H525" s="530"/>
      <c r="I525" s="587"/>
      <c r="J525" s="588"/>
      <c r="K525" s="2309" t="s">
        <v>1280</v>
      </c>
      <c r="L525" s="2309"/>
      <c r="M525" s="2309"/>
      <c r="N525" s="2309"/>
      <c r="O525" s="2309"/>
      <c r="P525" s="1852"/>
      <c r="U525" s="627"/>
      <c r="V525" s="627"/>
      <c r="W525" s="627"/>
      <c r="X525" s="627"/>
      <c r="Y525" s="627"/>
      <c r="Z525" s="627"/>
      <c r="AA525" s="614">
        <v>0.24</v>
      </c>
      <c r="AB525" s="628"/>
      <c r="AC525" s="628"/>
      <c r="AD525" s="1851"/>
      <c r="AE525" s="188"/>
      <c r="AF525" s="188"/>
      <c r="AG525" s="1866"/>
      <c r="AH525" s="1851"/>
      <c r="AO525" s="13"/>
      <c r="AP525" s="13"/>
    </row>
    <row r="526" spans="1:42" ht="36.75" thickBot="1">
      <c r="A526" s="934"/>
      <c r="B526" s="542" t="s">
        <v>10</v>
      </c>
      <c r="C526" s="543" t="s">
        <v>11</v>
      </c>
      <c r="D526" s="543" t="s">
        <v>12</v>
      </c>
      <c r="E526" s="543" t="s">
        <v>13</v>
      </c>
      <c r="F526" s="543" t="s">
        <v>14</v>
      </c>
      <c r="G526" s="544" t="s">
        <v>15</v>
      </c>
      <c r="H526" s="545" t="s">
        <v>1090</v>
      </c>
      <c r="I526" s="1151">
        <f>$C$16</f>
        <v>0.47</v>
      </c>
      <c r="J526" s="1152">
        <f>$C$16</f>
        <v>0.47</v>
      </c>
      <c r="K526" s="601" t="s">
        <v>15</v>
      </c>
      <c r="L526" s="315" t="s">
        <v>12</v>
      </c>
      <c r="M526" s="316" t="s">
        <v>1091</v>
      </c>
      <c r="N526" s="605" t="s">
        <v>993</v>
      </c>
      <c r="O526" s="1153" t="s">
        <v>1092</v>
      </c>
      <c r="P526" s="696" t="s">
        <v>1092</v>
      </c>
      <c r="Q526" s="752" t="s">
        <v>1093</v>
      </c>
      <c r="R526" s="201" t="s">
        <v>1094</v>
      </c>
      <c r="S526" s="202" t="s">
        <v>1095</v>
      </c>
      <c r="T526" s="958" t="s">
        <v>1095</v>
      </c>
      <c r="U526" s="204" t="s">
        <v>1096</v>
      </c>
      <c r="V526" s="205" t="s">
        <v>1093</v>
      </c>
      <c r="W526" s="206" t="s">
        <v>1094</v>
      </c>
      <c r="X526" s="207" t="s">
        <v>1097</v>
      </c>
      <c r="Y526" s="208">
        <f>$X$522</f>
        <v>0.51</v>
      </c>
      <c r="Z526" s="207" t="s">
        <v>1098</v>
      </c>
      <c r="AA526" s="209" t="s">
        <v>1099</v>
      </c>
      <c r="AB526" s="209" t="s">
        <v>1100</v>
      </c>
      <c r="AC526" s="210" t="s">
        <v>1092</v>
      </c>
      <c r="AD526" s="211" t="s">
        <v>1101</v>
      </c>
      <c r="AE526" s="209" t="s">
        <v>1102</v>
      </c>
      <c r="AF526" s="208" t="s">
        <v>1103</v>
      </c>
      <c r="AG526" s="1867" t="s">
        <v>1104</v>
      </c>
      <c r="AH526" s="213" t="s">
        <v>1116</v>
      </c>
      <c r="AJ526" s="483" t="s">
        <v>1107</v>
      </c>
      <c r="AK526" s="484" t="s">
        <v>1108</v>
      </c>
      <c r="AM526" s="219" t="s">
        <v>1175</v>
      </c>
      <c r="AN526" s="219" t="s">
        <v>1176</v>
      </c>
      <c r="AO526" s="13"/>
      <c r="AP526" s="13"/>
    </row>
    <row r="527" spans="1:42" ht="16.5" thickBot="1">
      <c r="A527" s="934"/>
      <c r="B527" s="1154" t="s">
        <v>681</v>
      </c>
      <c r="C527" s="1155" t="s">
        <v>190</v>
      </c>
      <c r="D527" s="1156">
        <v>165</v>
      </c>
      <c r="E527" s="1155">
        <v>1</v>
      </c>
      <c r="F527" s="1156">
        <v>90</v>
      </c>
      <c r="G527" s="1157">
        <v>186</v>
      </c>
      <c r="H527" s="1158">
        <f>G527*(1+$H$33)</f>
        <v>199.02</v>
      </c>
      <c r="I527" s="1158">
        <f>H527-H527*$J$526</f>
        <v>105.48060000000001</v>
      </c>
      <c r="J527" s="1159">
        <f>G527-G527*$J$526</f>
        <v>98.58</v>
      </c>
      <c r="K527" s="340">
        <v>252</v>
      </c>
      <c r="L527" s="341">
        <v>161</v>
      </c>
      <c r="M527" s="896">
        <f>L527/D527*100%</f>
        <v>0.97575757575757571</v>
      </c>
      <c r="N527" s="767">
        <f>K527-(K527*$O$33)</f>
        <v>126</v>
      </c>
      <c r="O527" s="1131">
        <f>((N527/J527)-1)*100%</f>
        <v>0.27814972611077304</v>
      </c>
      <c r="P527" s="696">
        <f>((N527/I527)-1)*100%</f>
        <v>0.19453245430913357</v>
      </c>
      <c r="Q527" s="697">
        <v>1.94</v>
      </c>
      <c r="R527" s="258">
        <f>Q527*$R$33</f>
        <v>91.244020000000006</v>
      </c>
      <c r="S527" s="259">
        <f>((J527-R527)/J527)*100%</f>
        <v>7.441651450598491E-2</v>
      </c>
      <c r="T527" s="696">
        <f>((I527-R527)/I527)*100%</f>
        <v>0.13496870514578038</v>
      </c>
      <c r="U527" s="238">
        <v>1.655</v>
      </c>
      <c r="V527" s="239">
        <f>U527*$X$31</f>
        <v>1.986</v>
      </c>
      <c r="W527" s="239">
        <f>V527*$R$33</f>
        <v>93.407538000000002</v>
      </c>
      <c r="X527" s="240">
        <f>(ROUND(W527/(1-$AA$525),0))</f>
        <v>123</v>
      </c>
      <c r="Y527" s="239">
        <f>Z527*(1-$X$522)</f>
        <v>113.67999999999999</v>
      </c>
      <c r="Z527" s="240">
        <f>ROUND(X527/(1-$X$521),0)</f>
        <v>232</v>
      </c>
      <c r="AA527" s="241">
        <f>((X527-W527)/X527)*100%</f>
        <v>0.24058912195121948</v>
      </c>
      <c r="AB527" s="241">
        <f>((Y527-W527)/Y527)*100%</f>
        <v>0.17832918719211815</v>
      </c>
      <c r="AC527" s="265">
        <f>((N527/Y527)-1)*100%</f>
        <v>0.10837438423645329</v>
      </c>
      <c r="AD527" s="1004">
        <f>((N527*0.96-W527)/(N527*0.96))*100%</f>
        <v>0.22778159722222216</v>
      </c>
      <c r="AE527" s="238">
        <f>N527/$R$33</f>
        <v>2.6789700848340527</v>
      </c>
      <c r="AF527" s="239">
        <f>(V527/(1-$AA$525))</f>
        <v>2.6131578947368421</v>
      </c>
      <c r="AG527" s="1868">
        <v>4.93</v>
      </c>
      <c r="AH527" s="244">
        <f>((AF527-V527)/AF527)*100%</f>
        <v>0.24000000000000002</v>
      </c>
      <c r="AI527" s="968"/>
      <c r="AJ527" s="1160">
        <f>[1]Статистика!D138</f>
        <v>9555</v>
      </c>
      <c r="AK527" s="90">
        <f>AJ527*Q527*S527</f>
        <v>1379.4366044430906</v>
      </c>
      <c r="AL527" s="968"/>
      <c r="AM527" s="499">
        <f>AJ527/$AJ$587</f>
        <v>0.53824921135646686</v>
      </c>
      <c r="AN527" s="499">
        <f>AK527/$AK$587</f>
        <v>4.4827215936830678</v>
      </c>
      <c r="AO527" s="13"/>
      <c r="AP527" s="13"/>
    </row>
    <row r="528" spans="1:42">
      <c r="A528" s="934"/>
      <c r="B528" s="540"/>
      <c r="C528" s="540"/>
      <c r="D528" s="540"/>
      <c r="E528" s="540"/>
      <c r="F528" s="540"/>
      <c r="G528" s="540"/>
      <c r="H528" s="530"/>
      <c r="I528" s="587"/>
      <c r="J528" s="588"/>
      <c r="K528" s="936"/>
      <c r="L528" s="937"/>
      <c r="M528" s="938"/>
      <c r="N528" s="939"/>
      <c r="AO528" s="13"/>
      <c r="AP528" s="13"/>
    </row>
    <row r="529" spans="1:42">
      <c r="A529" s="934"/>
      <c r="B529" s="540"/>
      <c r="C529" s="540"/>
      <c r="D529" s="540"/>
      <c r="E529" s="540"/>
      <c r="F529" s="540"/>
      <c r="G529" s="540"/>
      <c r="H529" s="530"/>
      <c r="I529" s="587"/>
      <c r="J529" s="588"/>
      <c r="K529" s="936"/>
      <c r="L529" s="937"/>
      <c r="M529" s="938"/>
      <c r="N529" s="939"/>
      <c r="AO529" s="13"/>
      <c r="AP529" s="13"/>
    </row>
    <row r="530" spans="1:42">
      <c r="A530" s="934"/>
      <c r="B530" s="934"/>
      <c r="C530" s="1161" t="s">
        <v>982</v>
      </c>
      <c r="D530" s="934"/>
      <c r="E530" s="934"/>
      <c r="F530" s="934"/>
      <c r="G530" s="934"/>
      <c r="H530" s="1162"/>
      <c r="I530" s="587"/>
      <c r="J530" s="588"/>
      <c r="K530" s="936"/>
      <c r="L530" s="937"/>
      <c r="M530" s="938"/>
      <c r="N530" s="939"/>
      <c r="AO530" s="13"/>
      <c r="AP530" s="13"/>
    </row>
    <row r="531" spans="1:42" ht="15.75" thickBot="1">
      <c r="A531" s="530" t="s">
        <v>979</v>
      </c>
      <c r="B531" s="934"/>
      <c r="C531" s="1163"/>
      <c r="D531" s="934"/>
      <c r="E531" s="934"/>
      <c r="F531" s="934"/>
      <c r="G531" s="934"/>
      <c r="H531" s="1162"/>
      <c r="I531" s="587"/>
      <c r="J531" s="588"/>
      <c r="K531" s="936"/>
      <c r="L531" s="937"/>
      <c r="M531" s="938"/>
      <c r="N531" s="939"/>
      <c r="U531" s="627"/>
      <c r="V531" s="627"/>
      <c r="W531" s="627"/>
      <c r="X531" s="627"/>
      <c r="Y531" s="627"/>
      <c r="Z531" s="627"/>
      <c r="AA531" s="614">
        <v>0.18</v>
      </c>
      <c r="AB531" s="628"/>
      <c r="AC531" s="628"/>
      <c r="AD531" s="1851"/>
      <c r="AE531" s="188"/>
      <c r="AF531" s="188"/>
      <c r="AG531" s="1866"/>
      <c r="AH531" s="1851"/>
      <c r="AO531" s="13"/>
      <c r="AP531" s="13"/>
    </row>
    <row r="532" spans="1:42" ht="36.75" thickBot="1">
      <c r="A532" s="934"/>
      <c r="B532" s="1164" t="s">
        <v>10</v>
      </c>
      <c r="C532" s="1165" t="s">
        <v>11</v>
      </c>
      <c r="D532" s="1166" t="s">
        <v>12</v>
      </c>
      <c r="E532" s="1166" t="s">
        <v>13</v>
      </c>
      <c r="F532" s="590" t="s">
        <v>14</v>
      </c>
      <c r="G532" s="17"/>
      <c r="H532" s="545" t="s">
        <v>1090</v>
      </c>
      <c r="I532" s="1151">
        <f>$C$16</f>
        <v>0.47</v>
      </c>
      <c r="J532" s="588"/>
      <c r="K532" s="936"/>
      <c r="L532" s="937"/>
      <c r="M532" s="938"/>
      <c r="N532" s="939"/>
      <c r="Q532" s="752" t="s">
        <v>1093</v>
      </c>
      <c r="R532" s="201" t="s">
        <v>1094</v>
      </c>
      <c r="S532" s="202" t="s">
        <v>1095</v>
      </c>
      <c r="T532" s="958" t="s">
        <v>1095</v>
      </c>
      <c r="U532" s="204" t="s">
        <v>1096</v>
      </c>
      <c r="V532" s="205" t="s">
        <v>1093</v>
      </c>
      <c r="W532" s="206" t="s">
        <v>1094</v>
      </c>
      <c r="X532" s="207" t="s">
        <v>1097</v>
      </c>
      <c r="Y532" s="208">
        <f>$X$522</f>
        <v>0.51</v>
      </c>
      <c r="Z532" s="207" t="s">
        <v>1098</v>
      </c>
      <c r="AA532" s="209" t="s">
        <v>1099</v>
      </c>
      <c r="AB532" s="209" t="s">
        <v>1100</v>
      </c>
      <c r="AC532" s="210" t="s">
        <v>1092</v>
      </c>
      <c r="AD532" s="211" t="s">
        <v>1101</v>
      </c>
      <c r="AE532" s="209" t="s">
        <v>1102</v>
      </c>
      <c r="AF532" s="208" t="s">
        <v>1103</v>
      </c>
      <c r="AG532" s="1867" t="s">
        <v>1104</v>
      </c>
      <c r="AH532" s="213" t="s">
        <v>1116</v>
      </c>
      <c r="AO532" s="13"/>
      <c r="AP532" s="13"/>
    </row>
    <row r="533" spans="1:42">
      <c r="A533" s="934"/>
      <c r="B533" s="1167" t="s">
        <v>980</v>
      </c>
      <c r="C533" s="1168" t="s">
        <v>190</v>
      </c>
      <c r="D533" s="1169">
        <v>180</v>
      </c>
      <c r="E533" s="1170">
        <v>1</v>
      </c>
      <c r="F533" s="1169">
        <v>80</v>
      </c>
      <c r="G533" s="17"/>
      <c r="H533" s="1102">
        <v>203</v>
      </c>
      <c r="I533" s="1072">
        <f>H533-H533*$I$532</f>
        <v>107.59</v>
      </c>
      <c r="J533" s="588"/>
      <c r="K533" s="936"/>
      <c r="L533" s="937"/>
      <c r="M533" s="938"/>
      <c r="N533" s="939"/>
      <c r="Q533" s="697">
        <v>2.0568</v>
      </c>
      <c r="R533" s="258">
        <f>Q533*$R$33</f>
        <v>96.737474399999996</v>
      </c>
      <c r="S533" s="259"/>
      <c r="T533" s="696">
        <f>((I533-R533)/I533)*100%</f>
        <v>0.10086927781392328</v>
      </c>
      <c r="U533" s="238">
        <v>1.714</v>
      </c>
      <c r="V533" s="239">
        <f>U533*$X$31</f>
        <v>2.0568</v>
      </c>
      <c r="W533" s="239">
        <f>V533*$R$33</f>
        <v>96.737474399999996</v>
      </c>
      <c r="X533" s="240">
        <f>(ROUND(W533/(1-$AA$531),0))</f>
        <v>118</v>
      </c>
      <c r="Y533" s="239">
        <f>Z533*(1-$X$522)</f>
        <v>109.27</v>
      </c>
      <c r="Z533" s="240">
        <f>ROUND(X533/(1-$X$521),0)</f>
        <v>223</v>
      </c>
      <c r="AA533" s="241">
        <f>((X533-W533)/X533)*100%</f>
        <v>0.18019089491525428</v>
      </c>
      <c r="AB533" s="241">
        <f>((Y533-W533)/Y533)*100%</f>
        <v>0.11469319666880205</v>
      </c>
      <c r="AC533" s="265"/>
      <c r="AD533" s="1004"/>
      <c r="AE533" s="238">
        <f>N533/$R$33</f>
        <v>0</v>
      </c>
      <c r="AF533" s="239">
        <f>(V533/(1-$AA$531))</f>
        <v>2.5082926829268288</v>
      </c>
      <c r="AG533" s="1868">
        <v>4.7300000000000004</v>
      </c>
      <c r="AH533" s="244">
        <f>((AF533-V533)/AF533)*100%</f>
        <v>0.17999999999999988</v>
      </c>
      <c r="AO533" s="13"/>
      <c r="AP533" s="13"/>
    </row>
    <row r="534" spans="1:42" ht="15.75" thickBot="1">
      <c r="A534" s="934"/>
      <c r="B534" s="1171" t="s">
        <v>981</v>
      </c>
      <c r="C534" s="1172" t="s">
        <v>192</v>
      </c>
      <c r="D534" s="1173">
        <v>205</v>
      </c>
      <c r="E534" s="1174">
        <v>1</v>
      </c>
      <c r="F534" s="1173">
        <v>60</v>
      </c>
      <c r="G534" s="17"/>
      <c r="H534" s="1104">
        <v>218</v>
      </c>
      <c r="I534" s="1072">
        <f>H534-H534*$I$532</f>
        <v>115.54</v>
      </c>
      <c r="J534" s="588"/>
      <c r="K534" s="936"/>
      <c r="L534" s="937"/>
      <c r="M534" s="938"/>
      <c r="N534" s="939"/>
      <c r="Q534" s="697">
        <v>2.2043999999999997</v>
      </c>
      <c r="R534" s="258">
        <f>Q534*$R$33</f>
        <v>103.67954519999999</v>
      </c>
      <c r="S534" s="259"/>
      <c r="T534" s="696">
        <f>((I534-R534)/I534)*100%</f>
        <v>0.10265236974208078</v>
      </c>
      <c r="U534" s="261">
        <v>1.837</v>
      </c>
      <c r="V534" s="239">
        <f>U534*$X$31</f>
        <v>2.2043999999999997</v>
      </c>
      <c r="W534" s="239">
        <f>V534*$R$33</f>
        <v>103.67954519999999</v>
      </c>
      <c r="X534" s="240">
        <f>(ROUND(W534/(1-$AA$531),0))</f>
        <v>126</v>
      </c>
      <c r="Y534" s="239">
        <f>Z534*(1-$X$522)</f>
        <v>116.62</v>
      </c>
      <c r="Z534" s="240">
        <f>ROUND(X534/(1-$X$521),0)</f>
        <v>238</v>
      </c>
      <c r="AA534" s="241">
        <f>((X534-W534)/X534)*100%</f>
        <v>0.17714646666666672</v>
      </c>
      <c r="AB534" s="241">
        <f>((Y534-W534)/Y534)*100%</f>
        <v>0.11096256902761115</v>
      </c>
      <c r="AC534" s="265"/>
      <c r="AD534" s="1004"/>
      <c r="AE534" s="238">
        <f>N534/$R$33</f>
        <v>0</v>
      </c>
      <c r="AF534" s="239">
        <f>(V534/(1-$AA$531))</f>
        <v>2.6882926829268285</v>
      </c>
      <c r="AG534" s="1868">
        <v>5.07</v>
      </c>
      <c r="AH534" s="244">
        <f>((AF534-V534)/AF534)*100%</f>
        <v>0.17999999999999988</v>
      </c>
      <c r="AO534" s="13"/>
      <c r="AP534" s="13"/>
    </row>
    <row r="535" spans="1:42">
      <c r="A535" s="934"/>
      <c r="B535" s="934"/>
      <c r="C535" s="1163"/>
      <c r="D535" s="934"/>
      <c r="E535" s="934"/>
      <c r="F535" s="934"/>
      <c r="G535" s="934"/>
      <c r="H535" s="1162"/>
      <c r="I535" s="587"/>
      <c r="J535" s="588"/>
      <c r="K535" s="936"/>
      <c r="L535" s="937"/>
      <c r="M535" s="938"/>
      <c r="N535" s="939"/>
      <c r="AO535" s="13"/>
      <c r="AP535" s="13"/>
    </row>
    <row r="536" spans="1:42">
      <c r="A536" s="934"/>
      <c r="B536" s="934"/>
      <c r="C536" s="1163"/>
      <c r="D536" s="934"/>
      <c r="E536" s="934"/>
      <c r="F536" s="934"/>
      <c r="G536" s="934"/>
      <c r="H536" s="1162"/>
      <c r="I536" s="587"/>
      <c r="J536" s="588"/>
      <c r="K536" s="936"/>
      <c r="L536" s="937"/>
      <c r="M536" s="938"/>
      <c r="N536" s="939"/>
      <c r="AO536" s="13"/>
      <c r="AP536" s="13"/>
    </row>
    <row r="537" spans="1:42">
      <c r="A537" s="934"/>
      <c r="B537" s="540"/>
      <c r="C537" s="540"/>
      <c r="D537" s="540"/>
      <c r="E537" s="540"/>
      <c r="F537" s="540"/>
      <c r="G537" s="540"/>
      <c r="H537" s="530"/>
      <c r="I537" s="587"/>
      <c r="J537" s="588"/>
      <c r="K537" s="936"/>
      <c r="L537" s="937"/>
      <c r="M537" s="938"/>
      <c r="N537" s="939"/>
      <c r="AO537" s="13"/>
      <c r="AP537" s="13"/>
    </row>
    <row r="538" spans="1:42" ht="15.75">
      <c r="A538" s="1842" t="s">
        <v>851</v>
      </c>
      <c r="B538" s="187"/>
      <c r="C538" s="149" t="s">
        <v>852</v>
      </c>
      <c r="D538" s="187"/>
      <c r="E538" s="187"/>
      <c r="F538" s="1175"/>
      <c r="G538" s="934"/>
      <c r="H538" s="530"/>
      <c r="I538" s="587"/>
      <c r="J538" s="588"/>
      <c r="K538" s="936"/>
      <c r="L538" s="937"/>
      <c r="M538" s="938"/>
      <c r="N538" s="939"/>
      <c r="AO538" s="13"/>
      <c r="AP538" s="13"/>
    </row>
    <row r="539" spans="1:42" ht="15.75" thickBot="1">
      <c r="A539" s="187"/>
      <c r="B539" s="149"/>
      <c r="C539" s="187" t="s">
        <v>853</v>
      </c>
      <c r="D539" s="187"/>
      <c r="E539" s="187"/>
      <c r="F539" s="934"/>
      <c r="G539" s="187"/>
      <c r="J539" s="588"/>
      <c r="K539" s="2309" t="s">
        <v>1281</v>
      </c>
      <c r="L539" s="2309"/>
      <c r="M539" s="2309"/>
      <c r="N539" s="2309"/>
      <c r="O539" s="2309"/>
      <c r="P539" s="1852"/>
      <c r="U539" s="627"/>
      <c r="V539" s="627"/>
      <c r="W539" s="627"/>
      <c r="X539" s="627"/>
      <c r="Y539" s="627"/>
      <c r="Z539" s="627"/>
      <c r="AA539" s="614">
        <v>0.16</v>
      </c>
      <c r="AB539" s="628"/>
      <c r="AC539" s="628"/>
      <c r="AD539" s="1851"/>
      <c r="AE539" s="188"/>
      <c r="AF539" s="188"/>
      <c r="AG539" s="1866"/>
      <c r="AH539" s="1851"/>
      <c r="AO539" s="13"/>
      <c r="AP539" s="13"/>
    </row>
    <row r="540" spans="1:42" ht="36.75" thickBot="1">
      <c r="A540" s="187"/>
      <c r="B540" s="629" t="s">
        <v>10</v>
      </c>
      <c r="C540" s="1176" t="s">
        <v>11</v>
      </c>
      <c r="D540" s="631" t="s">
        <v>12</v>
      </c>
      <c r="E540" s="631" t="s">
        <v>13</v>
      </c>
      <c r="F540" s="370" t="s">
        <v>14</v>
      </c>
      <c r="G540" s="632" t="s">
        <v>15</v>
      </c>
      <c r="H540" s="372" t="s">
        <v>1090</v>
      </c>
      <c r="I540" s="372">
        <f>$C$16</f>
        <v>0.47</v>
      </c>
      <c r="J540" s="1152">
        <f>$C$16</f>
        <v>0.47</v>
      </c>
      <c r="K540" s="601" t="s">
        <v>15</v>
      </c>
      <c r="L540" s="315" t="s">
        <v>12</v>
      </c>
      <c r="M540" s="316" t="s">
        <v>1091</v>
      </c>
      <c r="N540" s="605" t="s">
        <v>993</v>
      </c>
      <c r="O540" s="1153" t="s">
        <v>1092</v>
      </c>
      <c r="P540" s="696" t="s">
        <v>1092</v>
      </c>
      <c r="Q540" s="752" t="s">
        <v>1093</v>
      </c>
      <c r="R540" s="201" t="s">
        <v>1094</v>
      </c>
      <c r="S540" s="202" t="s">
        <v>1095</v>
      </c>
      <c r="T540" s="958" t="s">
        <v>1095</v>
      </c>
      <c r="U540" s="204" t="s">
        <v>1096</v>
      </c>
      <c r="V540" s="205" t="s">
        <v>1093</v>
      </c>
      <c r="W540" s="206" t="s">
        <v>1094</v>
      </c>
      <c r="X540" s="207" t="s">
        <v>1097</v>
      </c>
      <c r="Y540" s="208">
        <f>$X$522</f>
        <v>0.51</v>
      </c>
      <c r="Z540" s="207" t="s">
        <v>1098</v>
      </c>
      <c r="AA540" s="209" t="s">
        <v>1099</v>
      </c>
      <c r="AB540" s="209" t="s">
        <v>1100</v>
      </c>
      <c r="AC540" s="210" t="s">
        <v>1092</v>
      </c>
      <c r="AD540" s="211" t="s">
        <v>1101</v>
      </c>
      <c r="AE540" s="209" t="s">
        <v>1102</v>
      </c>
      <c r="AF540" s="208" t="s">
        <v>1103</v>
      </c>
      <c r="AG540" s="1867" t="s">
        <v>1104</v>
      </c>
      <c r="AH540" s="213" t="s">
        <v>1116</v>
      </c>
      <c r="AJ540" s="483" t="s">
        <v>1107</v>
      </c>
      <c r="AK540" s="484" t="s">
        <v>1108</v>
      </c>
      <c r="AM540" s="219" t="s">
        <v>1175</v>
      </c>
      <c r="AN540" s="219" t="s">
        <v>1176</v>
      </c>
      <c r="AO540" s="13"/>
      <c r="AP540" s="13"/>
    </row>
    <row r="541" spans="1:42" ht="16.5" thickBot="1">
      <c r="A541" s="187"/>
      <c r="B541" s="1177" t="s">
        <v>854</v>
      </c>
      <c r="C541" s="1178" t="s">
        <v>190</v>
      </c>
      <c r="D541" s="1069">
        <v>45</v>
      </c>
      <c r="E541" s="1179">
        <v>70</v>
      </c>
      <c r="F541" s="755">
        <v>560</v>
      </c>
      <c r="G541" s="1180">
        <v>46</v>
      </c>
      <c r="H541" s="867">
        <f>G541*(1+$H$33)</f>
        <v>49.220000000000006</v>
      </c>
      <c r="I541" s="867">
        <f>H541-H541*$J$526</f>
        <v>26.086600000000004</v>
      </c>
      <c r="J541" s="1159">
        <f>G541-G541*$J$526</f>
        <v>24.380000000000003</v>
      </c>
      <c r="K541" s="279">
        <v>61</v>
      </c>
      <c r="L541" s="341">
        <v>32</v>
      </c>
      <c r="M541" s="896">
        <f>L541/D541*100%</f>
        <v>0.71111111111111114</v>
      </c>
      <c r="N541" s="767">
        <f>K541-(K541*$O$33)</f>
        <v>30.5</v>
      </c>
      <c r="O541" s="1131">
        <f>((N541/J541)-1)*100%</f>
        <v>0.2510254306808859</v>
      </c>
      <c r="P541" s="696">
        <f>((N541/I541)-1)*100%</f>
        <v>0.16918264549615492</v>
      </c>
      <c r="Q541" s="697">
        <v>0.53400000000000003</v>
      </c>
      <c r="R541" s="258">
        <f>Q541*$R$33</f>
        <v>25.115622000000002</v>
      </c>
      <c r="S541" s="259">
        <f>((J541-R541)/J541)*100%</f>
        <v>-3.0173174733387993E-2</v>
      </c>
      <c r="T541" s="696">
        <f>((I541-R541)/I541)*100%</f>
        <v>3.7221332024871087E-2</v>
      </c>
      <c r="U541" s="238">
        <v>0.44500000000000001</v>
      </c>
      <c r="V541" s="239">
        <f>U541*$X$31</f>
        <v>0.53400000000000003</v>
      </c>
      <c r="W541" s="239">
        <f>V541*$R$33</f>
        <v>25.115622000000002</v>
      </c>
      <c r="X541" s="240">
        <f>(ROUND(W541/(1-$AA$539),0))</f>
        <v>30</v>
      </c>
      <c r="Y541" s="239">
        <f>Z541*(1-$X$522)</f>
        <v>27.93</v>
      </c>
      <c r="Z541" s="240">
        <f>ROUND(X541/(1-$X$521),0)</f>
        <v>57</v>
      </c>
      <c r="AA541" s="241">
        <f>((X541-W541)/X541)*100%</f>
        <v>0.16281259999999995</v>
      </c>
      <c r="AB541" s="241">
        <f>((Y541-W541)/Y541)*100%</f>
        <v>0.10076541353383452</v>
      </c>
      <c r="AC541" s="265">
        <f>((N541/Y541)-1)*100%</f>
        <v>9.2015753669889122E-2</v>
      </c>
      <c r="AD541" s="1004">
        <f>((N541*0.96-W541)/(N541*0.96))*100%</f>
        <v>0.14222602459016379</v>
      </c>
      <c r="AE541" s="238">
        <f>N541/$R$33</f>
        <v>0.64848085386856036</v>
      </c>
      <c r="AF541" s="239">
        <f>(V541/(1-$AA$531))</f>
        <v>0.65121951219512197</v>
      </c>
      <c r="AG541" s="1868">
        <v>1.23</v>
      </c>
      <c r="AH541" s="244">
        <f>((AF541-V541)/AF541)*100%</f>
        <v>0.18</v>
      </c>
      <c r="AJ541" s="498">
        <f>[1]Статистика!D144</f>
        <v>1034</v>
      </c>
      <c r="AK541" s="76">
        <f>AJ541*Q541*S541</f>
        <v>-16.660299468088581</v>
      </c>
      <c r="AM541" s="499">
        <f>AJ541/$AJ$587</f>
        <v>5.8246958089229382E-2</v>
      </c>
      <c r="AN541" s="499">
        <f>AK541/$AK$587</f>
        <v>-5.4140570101065717E-2</v>
      </c>
      <c r="AO541" s="13"/>
      <c r="AP541" s="13"/>
    </row>
    <row r="542" spans="1:42">
      <c r="A542" s="934"/>
      <c r="B542" s="934"/>
      <c r="C542" s="934"/>
      <c r="D542" s="934"/>
      <c r="E542" s="934"/>
      <c r="F542" s="934"/>
      <c r="G542" s="934"/>
      <c r="H542" s="530"/>
      <c r="I542" s="587"/>
      <c r="J542" s="588"/>
      <c r="K542" s="936"/>
      <c r="L542" s="937"/>
      <c r="M542" s="938"/>
      <c r="N542" s="939"/>
      <c r="AO542" s="13"/>
      <c r="AP542" s="13"/>
    </row>
    <row r="543" spans="1:42">
      <c r="A543" s="934"/>
      <c r="B543" s="2364" t="s">
        <v>682</v>
      </c>
      <c r="C543" s="2364"/>
      <c r="D543" s="2364"/>
      <c r="E543" s="2364"/>
      <c r="F543" s="2364"/>
      <c r="G543" s="2364"/>
      <c r="H543" s="1181"/>
      <c r="I543" s="1182"/>
      <c r="J543" s="588"/>
      <c r="K543" s="936"/>
      <c r="L543" s="937"/>
      <c r="M543" s="938"/>
      <c r="N543" s="939"/>
      <c r="AO543" s="13"/>
      <c r="AP543" s="13"/>
    </row>
    <row r="544" spans="1:42">
      <c r="A544" s="1147" t="s">
        <v>1</v>
      </c>
      <c r="B544" s="540"/>
      <c r="C544" s="540"/>
      <c r="D544" s="540"/>
      <c r="E544" s="540"/>
      <c r="F544" s="540"/>
      <c r="G544" s="540"/>
      <c r="H544" s="530"/>
      <c r="I544" s="587"/>
      <c r="J544" s="1183"/>
      <c r="K544" s="936"/>
      <c r="L544" s="937"/>
      <c r="M544" s="938"/>
      <c r="N544" s="939"/>
      <c r="AO544" s="13"/>
      <c r="AP544" s="13"/>
    </row>
    <row r="545" spans="1:42">
      <c r="A545" s="2356" t="s">
        <v>683</v>
      </c>
      <c r="B545" s="2356"/>
      <c r="C545" s="2356"/>
      <c r="D545" s="2356"/>
      <c r="E545" s="2356"/>
      <c r="F545" s="2356"/>
      <c r="G545" s="2356"/>
      <c r="H545" s="1148"/>
      <c r="I545" s="587"/>
      <c r="J545" s="588"/>
      <c r="K545" s="1843"/>
      <c r="L545" s="1184"/>
      <c r="M545" s="1185"/>
      <c r="N545" s="939"/>
      <c r="AO545" s="13"/>
      <c r="AP545" s="13"/>
    </row>
    <row r="546" spans="1:42">
      <c r="A546" s="2356" t="s">
        <v>1282</v>
      </c>
      <c r="B546" s="2356"/>
      <c r="C546" s="2356"/>
      <c r="D546" s="2356"/>
      <c r="E546" s="2356"/>
      <c r="F546" s="2356"/>
      <c r="G546" s="2356"/>
      <c r="H546" s="1148"/>
      <c r="I546" s="587"/>
      <c r="J546" s="588"/>
      <c r="K546" s="1843"/>
      <c r="L546" s="1184"/>
      <c r="M546" s="1185"/>
      <c r="N546" s="939"/>
      <c r="AO546" s="13"/>
      <c r="AP546" s="13"/>
    </row>
    <row r="547" spans="1:42">
      <c r="A547" s="2356" t="s">
        <v>1283</v>
      </c>
      <c r="B547" s="2356"/>
      <c r="C547" s="2356"/>
      <c r="D547" s="2356"/>
      <c r="E547" s="2356"/>
      <c r="F547" s="2356"/>
      <c r="G547" s="2356"/>
      <c r="H547" s="1148"/>
      <c r="I547" s="587"/>
      <c r="J547" s="588"/>
      <c r="K547" s="1843"/>
      <c r="L547" s="1184"/>
      <c r="M547" s="1185"/>
      <c r="N547" s="939"/>
      <c r="AO547" s="13"/>
      <c r="AP547" s="13"/>
    </row>
    <row r="548" spans="1:42">
      <c r="A548" s="1147" t="s">
        <v>2</v>
      </c>
      <c r="B548" s="540"/>
      <c r="C548" s="1149"/>
      <c r="D548" s="540"/>
      <c r="E548" s="1149"/>
      <c r="F548" s="540"/>
      <c r="G548" s="1149"/>
      <c r="H548" s="1147"/>
      <c r="I548" s="1186"/>
      <c r="J548" s="588"/>
      <c r="K548" s="1843"/>
      <c r="L548" s="1184"/>
      <c r="M548" s="1185"/>
      <c r="N548" s="939"/>
      <c r="AO548" s="13"/>
      <c r="AP548" s="13"/>
    </row>
    <row r="549" spans="1:42">
      <c r="A549" s="2356" t="s">
        <v>117</v>
      </c>
      <c r="B549" s="2356"/>
      <c r="C549" s="2356"/>
      <c r="D549" s="2356"/>
      <c r="E549" s="2356"/>
      <c r="F549" s="2356"/>
      <c r="G549" s="2356"/>
      <c r="H549" s="1148"/>
      <c r="I549" s="587"/>
      <c r="J549" s="588"/>
      <c r="K549" s="936"/>
      <c r="L549" s="937"/>
      <c r="M549" s="938"/>
      <c r="N549" s="939"/>
      <c r="AO549" s="13"/>
      <c r="AP549" s="13"/>
    </row>
    <row r="550" spans="1:42">
      <c r="A550" s="540" t="s">
        <v>1284</v>
      </c>
      <c r="B550" s="540"/>
      <c r="C550" s="540"/>
      <c r="D550" s="540"/>
      <c r="E550" s="540"/>
      <c r="F550" s="540"/>
      <c r="G550" s="540"/>
      <c r="H550" s="530"/>
      <c r="I550" s="587"/>
      <c r="J550" s="588"/>
      <c r="K550" s="936"/>
      <c r="L550" s="937"/>
      <c r="M550" s="938"/>
      <c r="N550" s="939"/>
      <c r="AO550" s="13"/>
      <c r="AP550" s="13"/>
    </row>
    <row r="551" spans="1:42">
      <c r="B551" s="531"/>
      <c r="C551" s="1150" t="s">
        <v>685</v>
      </c>
      <c r="D551" s="540"/>
      <c r="E551" s="540"/>
      <c r="F551" s="540"/>
      <c r="G551" s="540"/>
      <c r="H551" s="530"/>
      <c r="I551" s="587"/>
      <c r="J551" s="588"/>
      <c r="K551" s="936"/>
      <c r="L551" s="937"/>
      <c r="M551" s="938"/>
      <c r="N551" s="939"/>
      <c r="AO551" s="13"/>
      <c r="AP551" s="13"/>
    </row>
    <row r="552" spans="1:42" ht="15.75" thickBot="1">
      <c r="A552" s="1142" t="s">
        <v>684</v>
      </c>
      <c r="B552" s="540"/>
      <c r="C552" s="540" t="s">
        <v>699</v>
      </c>
      <c r="D552" s="540"/>
      <c r="E552" s="540"/>
      <c r="F552" s="540"/>
      <c r="G552" s="540"/>
      <c r="H552" s="530"/>
      <c r="I552" s="587"/>
      <c r="J552" s="588"/>
      <c r="K552" s="1850" t="s">
        <v>1285</v>
      </c>
      <c r="L552" s="1850"/>
      <c r="M552" s="1850"/>
      <c r="N552" s="898"/>
      <c r="O552" s="899"/>
      <c r="P552" s="459"/>
      <c r="T552" s="1851"/>
      <c r="U552" s="627"/>
      <c r="V552" s="627"/>
      <c r="W552" s="627"/>
      <c r="X552" s="627"/>
      <c r="Y552" s="627"/>
      <c r="Z552" s="627"/>
      <c r="AA552" s="614">
        <v>0.28000000000000003</v>
      </c>
      <c r="AB552" s="628">
        <v>0.35</v>
      </c>
      <c r="AC552" s="628"/>
      <c r="AD552" s="1851"/>
      <c r="AE552" s="188"/>
      <c r="AF552" s="188"/>
      <c r="AG552" s="1866"/>
      <c r="AH552" s="1851"/>
      <c r="AO552" s="13"/>
      <c r="AP552" s="13"/>
    </row>
    <row r="553" spans="1:42" ht="60.75" thickBot="1">
      <c r="A553" s="934"/>
      <c r="B553" s="589" t="s">
        <v>10</v>
      </c>
      <c r="C553" s="590" t="s">
        <v>11</v>
      </c>
      <c r="D553" s="590" t="s">
        <v>12</v>
      </c>
      <c r="E553" s="590" t="s">
        <v>13</v>
      </c>
      <c r="F553" s="590" t="s">
        <v>14</v>
      </c>
      <c r="G553" s="1187" t="s">
        <v>15</v>
      </c>
      <c r="H553" s="1188" t="s">
        <v>1090</v>
      </c>
      <c r="I553" s="1189">
        <f>$C$16</f>
        <v>0.47</v>
      </c>
      <c r="J553" s="1190">
        <f>$C$16</f>
        <v>0.47</v>
      </c>
      <c r="K553" s="548" t="s">
        <v>15</v>
      </c>
      <c r="L553" s="423" t="s">
        <v>12</v>
      </c>
      <c r="M553" s="196" t="s">
        <v>1091</v>
      </c>
      <c r="N553" s="549" t="s">
        <v>993</v>
      </c>
      <c r="O553" s="424" t="s">
        <v>1092</v>
      </c>
      <c r="P553" s="602" t="s">
        <v>1092</v>
      </c>
      <c r="Q553" s="200" t="s">
        <v>1093</v>
      </c>
      <c r="R553" s="201" t="s">
        <v>1094</v>
      </c>
      <c r="S553" s="350" t="s">
        <v>1095</v>
      </c>
      <c r="T553" s="203" t="s">
        <v>1095</v>
      </c>
      <c r="U553" s="204" t="s">
        <v>1096</v>
      </c>
      <c r="V553" s="205" t="s">
        <v>1093</v>
      </c>
      <c r="W553" s="206" t="s">
        <v>1094</v>
      </c>
      <c r="X553" s="207" t="s">
        <v>1097</v>
      </c>
      <c r="Y553" s="208">
        <f>$X$522</f>
        <v>0.51</v>
      </c>
      <c r="Z553" s="207" t="s">
        <v>1098</v>
      </c>
      <c r="AA553" s="209" t="s">
        <v>1099</v>
      </c>
      <c r="AB553" s="209" t="s">
        <v>1100</v>
      </c>
      <c r="AC553" s="210" t="s">
        <v>1092</v>
      </c>
      <c r="AD553" s="211" t="s">
        <v>1101</v>
      </c>
      <c r="AE553" s="209" t="s">
        <v>1102</v>
      </c>
      <c r="AF553" s="208" t="s">
        <v>1103</v>
      </c>
      <c r="AG553" s="1867" t="s">
        <v>1104</v>
      </c>
      <c r="AH553" s="213" t="s">
        <v>1116</v>
      </c>
      <c r="AI553" s="220" t="s">
        <v>1106</v>
      </c>
      <c r="AJ553" s="483" t="s">
        <v>1107</v>
      </c>
      <c r="AK553" s="484" t="s">
        <v>1108</v>
      </c>
      <c r="AL553" s="221" t="s">
        <v>1109</v>
      </c>
      <c r="AM553" s="221" t="s">
        <v>1175</v>
      </c>
      <c r="AN553" s="221" t="s">
        <v>1176</v>
      </c>
      <c r="AO553" s="13"/>
      <c r="AP553" s="13"/>
    </row>
    <row r="554" spans="1:42" ht="15.75">
      <c r="A554" s="934"/>
      <c r="B554" s="1191" t="s">
        <v>686</v>
      </c>
      <c r="C554" s="1192" t="s">
        <v>687</v>
      </c>
      <c r="D554" s="1193">
        <v>125</v>
      </c>
      <c r="E554" s="1192">
        <v>1</v>
      </c>
      <c r="F554" s="1193">
        <v>108</v>
      </c>
      <c r="G554" s="1194">
        <v>160</v>
      </c>
      <c r="H554" s="1195">
        <f>G554*(1+$H$33)</f>
        <v>171.20000000000002</v>
      </c>
      <c r="I554" s="1195">
        <f>H554-H554*$J$526</f>
        <v>90.736000000000018</v>
      </c>
      <c r="J554" s="1196">
        <f>G554-G554*$J$526</f>
        <v>84.800000000000011</v>
      </c>
      <c r="K554" s="228">
        <v>339</v>
      </c>
      <c r="L554" s="478">
        <v>153</v>
      </c>
      <c r="M554" s="855">
        <f>L554/D554*100%</f>
        <v>1.224</v>
      </c>
      <c r="N554" s="694">
        <f>K554-(K554*$O$33)</f>
        <v>169.5</v>
      </c>
      <c r="O554" s="1197">
        <f>((N554/J554)-1)*100%</f>
        <v>0.99882075471698095</v>
      </c>
      <c r="P554" s="472">
        <f>((N554/I554)-1)*100%</f>
        <v>0.86805678010932774</v>
      </c>
      <c r="Q554" s="326">
        <v>1.29023205</v>
      </c>
      <c r="R554" s="258">
        <f>Q554*$R$33</f>
        <v>60.683484007650002</v>
      </c>
      <c r="S554" s="232">
        <f>((J554-R554)/J554)*100%</f>
        <v>0.28439287726827839</v>
      </c>
      <c r="T554" s="237">
        <f>((I554-R554)/I554)*100%</f>
        <v>0.33120829651240974</v>
      </c>
      <c r="U554" s="238">
        <v>1.083</v>
      </c>
      <c r="V554" s="239">
        <f>U554*$X$31</f>
        <v>1.2995999999999999</v>
      </c>
      <c r="W554" s="239">
        <f>V554*$R$33</f>
        <v>61.124086799999994</v>
      </c>
      <c r="X554" s="240">
        <f>(ROUND(W554/(1-$AB$552),0))</f>
        <v>94</v>
      </c>
      <c r="Y554" s="239">
        <f>Z554*(1-$X$522)</f>
        <v>86.73</v>
      </c>
      <c r="Z554" s="240">
        <f>ROUND(X554/(1-$X$521),0)</f>
        <v>177</v>
      </c>
      <c r="AA554" s="241">
        <f>((X554-W554)/X554)*100%</f>
        <v>0.34974375744680858</v>
      </c>
      <c r="AB554" s="241">
        <f>((Y554-W554)/Y554)*100%</f>
        <v>0.29523709443099283</v>
      </c>
      <c r="AC554" s="1198">
        <f>((N554/Y554)-1)*100%</f>
        <v>0.95434105845728112</v>
      </c>
      <c r="AD554" s="1004">
        <f>((N554*0.96-W554)/(N554*0.96))*100%</f>
        <v>0.62436033185840711</v>
      </c>
      <c r="AE554" s="238">
        <f>N554/$R$33</f>
        <v>3.6038526141219993</v>
      </c>
      <c r="AF554" s="239">
        <f>(V554/(1-$AB$552))</f>
        <v>1.9993846153846151</v>
      </c>
      <c r="AG554" s="1868">
        <v>3.77</v>
      </c>
      <c r="AH554" s="244">
        <f>((AF554-V554)/AF554)*100%</f>
        <v>0.35</v>
      </c>
      <c r="AI554" s="921">
        <f>AJ554/$AJ$557</f>
        <v>0.11506340859882462</v>
      </c>
      <c r="AJ554" s="399">
        <f>VLOOKUP($B554,[1]Статистика!$B:$D,3,FALSE)</f>
        <v>372</v>
      </c>
      <c r="AK554" s="1199">
        <f>AJ554*Q554*S554</f>
        <v>136.49900347608872</v>
      </c>
      <c r="AL554" s="921">
        <f>AK554/$AK$557</f>
        <v>0.20547028233612463</v>
      </c>
      <c r="AM554" s="65">
        <f>AJ554/$AJ$587</f>
        <v>2.0955385308697613E-2</v>
      </c>
      <c r="AN554" s="65">
        <f>AK554/$AK$587</f>
        <v>0.44357749274423197</v>
      </c>
      <c r="AO554" s="13"/>
      <c r="AP554" s="13"/>
    </row>
    <row r="555" spans="1:42" ht="15.75">
      <c r="A555" s="934"/>
      <c r="B555" s="1200" t="s">
        <v>688</v>
      </c>
      <c r="C555" s="1201" t="s">
        <v>689</v>
      </c>
      <c r="D555" s="1202">
        <v>125</v>
      </c>
      <c r="E555" s="1201">
        <v>1</v>
      </c>
      <c r="F555" s="1202">
        <v>108</v>
      </c>
      <c r="G555" s="1203">
        <v>160</v>
      </c>
      <c r="H555" s="567">
        <f>G555*(1+$H$33)</f>
        <v>171.20000000000002</v>
      </c>
      <c r="I555" s="1195">
        <f>H555-H555*$J$526</f>
        <v>90.736000000000018</v>
      </c>
      <c r="J555" s="1204">
        <f>G555-G555*$J$553</f>
        <v>84.800000000000011</v>
      </c>
      <c r="K555" s="254">
        <v>339</v>
      </c>
      <c r="L555" s="322">
        <v>153</v>
      </c>
      <c r="M555" s="335">
        <f>L555/D555*100%</f>
        <v>1.224</v>
      </c>
      <c r="N555" s="765">
        <f>K555-(K555*$O$33)</f>
        <v>169.5</v>
      </c>
      <c r="O555" s="386">
        <f>((N555/J555)-1)*100%</f>
        <v>0.99882075471698095</v>
      </c>
      <c r="P555" s="472">
        <f>((N555/I555)-1)*100%</f>
        <v>0.86805678010932774</v>
      </c>
      <c r="Q555" s="331">
        <v>1.5916436</v>
      </c>
      <c r="R555" s="258">
        <f>Q555*$R$33</f>
        <v>74.859773438800005</v>
      </c>
      <c r="S555" s="232">
        <f>((J555-R555)/J555)*100%</f>
        <v>0.11721965284433969</v>
      </c>
      <c r="T555" s="260">
        <f>((I555-R555)/I555)*100%</f>
        <v>0.17497163817228015</v>
      </c>
      <c r="U555" s="261">
        <v>1.3360000000000001</v>
      </c>
      <c r="V555" s="239">
        <f>U555*$X$31</f>
        <v>1.6032</v>
      </c>
      <c r="W555" s="239">
        <f>V555*$R$33</f>
        <v>75.403305599999996</v>
      </c>
      <c r="X555" s="240">
        <f>(ROUND(W555/(1-$AA$552),0))</f>
        <v>105</v>
      </c>
      <c r="Y555" s="239">
        <f>Z555*(1-$X$522)</f>
        <v>97.02</v>
      </c>
      <c r="Z555" s="240">
        <f>ROUND(X555/(1-$X$521),0)</f>
        <v>198</v>
      </c>
      <c r="AA555" s="241">
        <f>((X555-W555)/X555)*100%</f>
        <v>0.28187328000000006</v>
      </c>
      <c r="AB555" s="241">
        <f>((Y555-W555)/Y555)*100%</f>
        <v>0.22280658008658011</v>
      </c>
      <c r="AC555" s="1198">
        <f>((N555/Y555)-1)*100%</f>
        <v>0.74706246134817578</v>
      </c>
      <c r="AD555" s="1004">
        <f>((N555*0.96-W555)/(N555*0.96))*100%</f>
        <v>0.53660702064896759</v>
      </c>
      <c r="AE555" s="238">
        <f>N555/$R$33</f>
        <v>3.6038526141219993</v>
      </c>
      <c r="AF555" s="239">
        <f>(V555/(1-$AA$552))</f>
        <v>2.2266666666666666</v>
      </c>
      <c r="AG555" s="1868">
        <v>4.2</v>
      </c>
      <c r="AH555" s="244">
        <f>((AF555-V555)/AF555)*100%</f>
        <v>0.27999999999999997</v>
      </c>
      <c r="AI555" s="866">
        <f>AJ555/$AJ$557</f>
        <v>0.78564800494896381</v>
      </c>
      <c r="AJ555" s="338">
        <f>VLOOKUP($B555,[1]Статистика!$B:$D,3,FALSE)</f>
        <v>2540</v>
      </c>
      <c r="AK555" s="865">
        <f>AJ555*Q555*S555</f>
        <v>473.8926520195443</v>
      </c>
      <c r="AL555" s="866">
        <f>AK555/$AK$557</f>
        <v>0.71334481957978269</v>
      </c>
      <c r="AM555" s="92">
        <f>AJ555/$AJ$587</f>
        <v>0.1430824695808923</v>
      </c>
      <c r="AN555" s="92">
        <f>AK555/$AK$587</f>
        <v>1.5399974289890517</v>
      </c>
      <c r="AO555" s="13"/>
      <c r="AP555" s="13"/>
    </row>
    <row r="556" spans="1:42" ht="16.5" thickBot="1">
      <c r="A556" s="934"/>
      <c r="B556" s="359" t="s">
        <v>690</v>
      </c>
      <c r="C556" s="1205" t="s">
        <v>691</v>
      </c>
      <c r="D556" s="1206">
        <v>125</v>
      </c>
      <c r="E556" s="1205">
        <v>1</v>
      </c>
      <c r="F556" s="1206">
        <v>108</v>
      </c>
      <c r="G556" s="1207">
        <v>160</v>
      </c>
      <c r="H556" s="577">
        <f>G556*(1+$H$33)</f>
        <v>171.20000000000002</v>
      </c>
      <c r="I556" s="1195">
        <f>H556-H556*$J$526</f>
        <v>90.736000000000018</v>
      </c>
      <c r="J556" s="1208">
        <f>G556-G556*$J$553</f>
        <v>84.800000000000011</v>
      </c>
      <c r="K556" s="279">
        <v>339</v>
      </c>
      <c r="L556" s="341">
        <v>153</v>
      </c>
      <c r="M556" s="342">
        <f>L556/D556*100%</f>
        <v>1.224</v>
      </c>
      <c r="N556" s="767">
        <f>K556-(K556*$O$33)</f>
        <v>169.5</v>
      </c>
      <c r="O556" s="391">
        <f>((N556/J556)-1)*100%</f>
        <v>0.99882075471698095</v>
      </c>
      <c r="P556" s="475">
        <f>AVERAGE(P554:P555)</f>
        <v>0.86805678010932774</v>
      </c>
      <c r="Q556" s="336">
        <v>1.6154706000000001</v>
      </c>
      <c r="R556" s="258">
        <f>Q556*$R$33</f>
        <v>75.980428729800011</v>
      </c>
      <c r="S556" s="232">
        <f>((J556-R556)/J556)*100%</f>
        <v>0.10400437818632075</v>
      </c>
      <c r="T556" s="260">
        <f>((I556-R556)/I556)*100%</f>
        <v>0.16262091419282318</v>
      </c>
      <c r="U556" s="261">
        <v>1.3560000000000001</v>
      </c>
      <c r="V556" s="239">
        <f>U556*$X$31</f>
        <v>1.6272</v>
      </c>
      <c r="W556" s="239">
        <f>V556*$R$33</f>
        <v>76.5320976</v>
      </c>
      <c r="X556" s="240">
        <f>(ROUND(W556/(1-$AA$552),0))</f>
        <v>106</v>
      </c>
      <c r="Y556" s="239">
        <f>Z556*(1-$X$522)</f>
        <v>98</v>
      </c>
      <c r="Z556" s="240">
        <f>ROUND(X556/(1-$X$521),0)</f>
        <v>200</v>
      </c>
      <c r="AA556" s="241">
        <f>((X556-W556)/X556)*100%</f>
        <v>0.277999079245283</v>
      </c>
      <c r="AB556" s="241">
        <f>((Y556-W556)/Y556)*100%</f>
        <v>0.21906022857142857</v>
      </c>
      <c r="AC556" s="1198">
        <f>((N556/Y556)-1)*100%</f>
        <v>0.72959183673469385</v>
      </c>
      <c r="AD556" s="1004">
        <f>((N556*0.96-W556)/(N556*0.96))*100%</f>
        <v>0.52966999999999997</v>
      </c>
      <c r="AE556" s="238">
        <f>N556/$R$33</f>
        <v>3.6038526141219993</v>
      </c>
      <c r="AF556" s="239">
        <f>(V556/(1-$AA$552))</f>
        <v>2.2600000000000002</v>
      </c>
      <c r="AG556" s="1868">
        <v>4.26</v>
      </c>
      <c r="AH556" s="244">
        <f>((AF556-V556)/AF556)*100%</f>
        <v>0.28000000000000008</v>
      </c>
      <c r="AI556" s="921">
        <f>AJ556/$AJ$557</f>
        <v>9.9288586452211572E-2</v>
      </c>
      <c r="AJ556" s="399">
        <f>VLOOKUP($B556,[1]Статистика!$B:$D,3,FALSE)</f>
        <v>321</v>
      </c>
      <c r="AK556" s="859">
        <f>AJ556*Q556*S556</f>
        <v>53.933140889241677</v>
      </c>
      <c r="AL556" s="921">
        <f>AK556/$AK$557</f>
        <v>8.1184898084092683E-2</v>
      </c>
      <c r="AM556" s="65">
        <f>AJ556/$AJ$587</f>
        <v>1.8082469580892293E-2</v>
      </c>
      <c r="AN556" s="77">
        <f>AK556/$AK$587</f>
        <v>0.17526521661135833</v>
      </c>
      <c r="AO556" s="13"/>
      <c r="AP556" s="13"/>
    </row>
    <row r="557" spans="1:42" ht="15.75" thickBot="1">
      <c r="A557" s="934"/>
      <c r="B557" s="540"/>
      <c r="C557" s="540"/>
      <c r="D557" s="540"/>
      <c r="E557" s="540"/>
      <c r="F557" s="540"/>
      <c r="G557" s="540"/>
      <c r="H557" s="530"/>
      <c r="I557" s="587"/>
      <c r="J557" s="588"/>
      <c r="K557" s="936"/>
      <c r="L557" s="937"/>
      <c r="M557" s="938"/>
      <c r="N557" s="939"/>
      <c r="P557" s="1209"/>
      <c r="Q557" s="1091"/>
      <c r="R557" s="1092"/>
      <c r="S557" s="364"/>
      <c r="T557" s="365"/>
      <c r="U557" s="366"/>
      <c r="V557" s="366"/>
      <c r="W557" s="366"/>
      <c r="X557" s="366"/>
      <c r="Y557" s="366"/>
      <c r="Z557" s="366"/>
      <c r="AA557" s="367"/>
      <c r="AB557" s="367"/>
      <c r="AC557" s="367"/>
      <c r="AD557" s="367"/>
      <c r="AE557" s="366"/>
      <c r="AF557" s="366"/>
      <c r="AG557" s="1872"/>
      <c r="AH557" s="367"/>
      <c r="AI557" s="512">
        <f>S554*AI554+S555*AI555+S556*AI556</f>
        <v>0.13514304793264192</v>
      </c>
      <c r="AJ557" s="513">
        <f>SUM(AJ554:AJ556)</f>
        <v>3233</v>
      </c>
      <c r="AK557" s="514">
        <f>SUM(AK554:AK556)</f>
        <v>664.32479638487473</v>
      </c>
      <c r="AM557" s="499">
        <f>SUM(AM554:AM556)</f>
        <v>0.18212032447048221</v>
      </c>
      <c r="AN557" s="499">
        <f>SUM(AN554:AN556)</f>
        <v>2.1588401383446421</v>
      </c>
      <c r="AO557" s="13"/>
      <c r="AP557" s="13"/>
    </row>
    <row r="558" spans="1:42">
      <c r="A558" s="934"/>
      <c r="B558" s="530"/>
      <c r="C558" s="149" t="s">
        <v>685</v>
      </c>
      <c r="D558" s="187"/>
      <c r="E558" s="187"/>
      <c r="F558" s="586"/>
      <c r="G558" s="586"/>
      <c r="H558" s="1162"/>
      <c r="I558" s="587"/>
      <c r="J558" s="588"/>
      <c r="K558" s="936"/>
      <c r="L558" s="937"/>
      <c r="M558" s="938"/>
      <c r="N558" s="939"/>
      <c r="P558" s="817"/>
      <c r="Q558" s="1091"/>
      <c r="R558" s="1092"/>
      <c r="S558" s="364"/>
      <c r="T558" s="367"/>
      <c r="U558" s="366"/>
      <c r="V558" s="366"/>
      <c r="W558" s="366"/>
      <c r="X558" s="366"/>
      <c r="Y558" s="366"/>
      <c r="Z558" s="366"/>
      <c r="AA558" s="367"/>
      <c r="AB558" s="367"/>
      <c r="AC558" s="367"/>
      <c r="AD558" s="367"/>
      <c r="AE558" s="366"/>
      <c r="AF558" s="366"/>
      <c r="AG558" s="1872"/>
      <c r="AH558" s="367"/>
      <c r="AI558" s="1210"/>
      <c r="AJ558" s="513"/>
      <c r="AK558" s="514"/>
      <c r="AM558" s="1211"/>
      <c r="AN558" s="1211"/>
      <c r="AO558" s="13"/>
      <c r="AP558" s="13"/>
    </row>
    <row r="559" spans="1:42" ht="15.75" thickBot="1">
      <c r="A559" s="1142" t="s">
        <v>983</v>
      </c>
      <c r="B559" s="586"/>
      <c r="C559" s="1163" t="s">
        <v>31</v>
      </c>
      <c r="D559" s="586"/>
      <c r="E559" s="586"/>
      <c r="F559" s="586"/>
      <c r="G559" s="586"/>
      <c r="H559" s="1162"/>
      <c r="I559" s="587"/>
      <c r="J559" s="588"/>
      <c r="K559" s="936"/>
      <c r="L559" s="937"/>
      <c r="M559" s="938"/>
      <c r="N559" s="939"/>
      <c r="P559" s="817"/>
      <c r="Q559" s="1091"/>
      <c r="R559" s="1092"/>
      <c r="S559" s="364"/>
      <c r="T559" s="1851"/>
      <c r="U559" s="627"/>
      <c r="V559" s="627"/>
      <c r="W559" s="627"/>
      <c r="X559" s="627"/>
      <c r="Y559" s="627"/>
      <c r="Z559" s="627"/>
      <c r="AA559" s="614">
        <v>0.26</v>
      </c>
      <c r="AB559" s="628"/>
      <c r="AC559" s="628"/>
      <c r="AD559" s="1851"/>
      <c r="AE559" s="188"/>
      <c r="AF559" s="188"/>
      <c r="AG559" s="1866"/>
      <c r="AH559" s="1851"/>
      <c r="AI559" s="1210"/>
      <c r="AJ559" s="513"/>
      <c r="AK559" s="514"/>
      <c r="AM559" s="1211"/>
      <c r="AN559" s="1211"/>
      <c r="AO559" s="13"/>
      <c r="AP559" s="13"/>
    </row>
    <row r="560" spans="1:42" ht="36.75" thickBot="1">
      <c r="A560" s="934"/>
      <c r="B560" s="1164" t="s">
        <v>10</v>
      </c>
      <c r="C560" s="1165" t="s">
        <v>11</v>
      </c>
      <c r="D560" s="1166" t="s">
        <v>12</v>
      </c>
      <c r="E560" s="1166" t="s">
        <v>13</v>
      </c>
      <c r="F560" s="590" t="s">
        <v>14</v>
      </c>
      <c r="G560" s="17"/>
      <c r="H560" s="1188" t="s">
        <v>1090</v>
      </c>
      <c r="I560" s="1212">
        <f>$C$16</f>
        <v>0.47</v>
      </c>
      <c r="J560" s="588"/>
      <c r="K560" s="548" t="s">
        <v>15</v>
      </c>
      <c r="L560" s="423" t="s">
        <v>12</v>
      </c>
      <c r="M560" s="196" t="s">
        <v>1091</v>
      </c>
      <c r="N560" s="549" t="s">
        <v>993</v>
      </c>
      <c r="O560" s="424" t="s">
        <v>1092</v>
      </c>
      <c r="P560" s="602" t="s">
        <v>1092</v>
      </c>
      <c r="Q560" s="200" t="s">
        <v>1093</v>
      </c>
      <c r="R560" s="201" t="s">
        <v>1094</v>
      </c>
      <c r="S560" s="350" t="s">
        <v>1095</v>
      </c>
      <c r="T560" s="203" t="s">
        <v>1095</v>
      </c>
      <c r="U560" s="204" t="s">
        <v>1096</v>
      </c>
      <c r="V560" s="205" t="s">
        <v>1093</v>
      </c>
      <c r="W560" s="206" t="s">
        <v>1094</v>
      </c>
      <c r="X560" s="207" t="s">
        <v>1097</v>
      </c>
      <c r="Y560" s="208">
        <f>$X$522</f>
        <v>0.51</v>
      </c>
      <c r="Z560" s="207" t="s">
        <v>1098</v>
      </c>
      <c r="AA560" s="209" t="s">
        <v>1099</v>
      </c>
      <c r="AB560" s="209" t="s">
        <v>1100</v>
      </c>
      <c r="AC560" s="210" t="s">
        <v>1092</v>
      </c>
      <c r="AD560" s="211" t="s">
        <v>1101</v>
      </c>
      <c r="AE560" s="209" t="s">
        <v>1102</v>
      </c>
      <c r="AF560" s="208" t="s">
        <v>1103</v>
      </c>
      <c r="AG560" s="1867" t="s">
        <v>1104</v>
      </c>
      <c r="AH560" s="213" t="s">
        <v>1116</v>
      </c>
      <c r="AI560" s="1210"/>
      <c r="AJ560" s="513"/>
      <c r="AK560" s="514"/>
      <c r="AM560" s="1211"/>
      <c r="AN560" s="1211"/>
      <c r="AO560" s="13"/>
      <c r="AP560" s="13"/>
    </row>
    <row r="561" spans="1:42" ht="15.75">
      <c r="A561" s="934"/>
      <c r="B561" s="1167" t="s">
        <v>976</v>
      </c>
      <c r="C561" s="1168" t="s">
        <v>689</v>
      </c>
      <c r="D561" s="1169">
        <v>125</v>
      </c>
      <c r="E561" s="1170">
        <v>1</v>
      </c>
      <c r="F561" s="1169">
        <v>100</v>
      </c>
      <c r="G561" s="17"/>
      <c r="H561" s="1213">
        <v>195</v>
      </c>
      <c r="I561" s="1213">
        <f>H561-H561*$I$560</f>
        <v>103.35000000000001</v>
      </c>
      <c r="J561" s="588"/>
      <c r="K561" s="228">
        <v>339</v>
      </c>
      <c r="L561" s="478">
        <v>153</v>
      </c>
      <c r="M561" s="855">
        <f>L561/D561*100%</f>
        <v>1.224</v>
      </c>
      <c r="N561" s="694">
        <f>K561-(K561*$O$33)</f>
        <v>169.5</v>
      </c>
      <c r="O561" s="1197"/>
      <c r="P561" s="472">
        <f>((N561/I561)-1)*100%</f>
        <v>0.64005805515239467</v>
      </c>
      <c r="Q561" s="326">
        <v>1.8596973499999998</v>
      </c>
      <c r="R561" s="258">
        <f>Q561*$R$33</f>
        <v>87.467145462549993</v>
      </c>
      <c r="S561" s="232"/>
      <c r="T561" s="237">
        <f>((I561-R561)/I561)*100%</f>
        <v>0.15368025677261746</v>
      </c>
      <c r="U561" s="238">
        <v>1.5609999999999999</v>
      </c>
      <c r="V561" s="239">
        <f>U561*$X$31</f>
        <v>1.8731999999999998</v>
      </c>
      <c r="W561" s="239">
        <f>V561*$R$33</f>
        <v>88.102215599999994</v>
      </c>
      <c r="X561" s="240">
        <f>(ROUND(W561/(1-$AA$559),0))</f>
        <v>119</v>
      </c>
      <c r="Y561" s="239">
        <f>Z561*(1-$X$522)</f>
        <v>110.25</v>
      </c>
      <c r="Z561" s="240">
        <f>ROUND(X561/(1-$X$521),0)</f>
        <v>225</v>
      </c>
      <c r="AA561" s="241">
        <f>((X561-W561)/X561)*100%</f>
        <v>0.25964524705882358</v>
      </c>
      <c r="AB561" s="241">
        <f>((Y561-W561)/Y561)*100%</f>
        <v>0.20088693333333338</v>
      </c>
      <c r="AC561" s="265">
        <f>((N561/Y561)-1)*100%</f>
        <v>0.53741496598639449</v>
      </c>
      <c r="AD561" s="1004">
        <f>((N561*0.96-W561)/(N561*0.96))*100%</f>
        <v>0.45856553834808261</v>
      </c>
      <c r="AE561" s="238">
        <f>N561/$R$33</f>
        <v>3.6038526141219993</v>
      </c>
      <c r="AF561" s="239">
        <f>(V561/(1-$AA$559))</f>
        <v>2.531351351351351</v>
      </c>
      <c r="AG561" s="1868">
        <v>4.78</v>
      </c>
      <c r="AH561" s="244">
        <f>((AF561-V561)/AF561)*100%</f>
        <v>0.26</v>
      </c>
      <c r="AI561" s="1210"/>
      <c r="AJ561" s="513"/>
      <c r="AK561" s="514"/>
      <c r="AM561" s="1211"/>
      <c r="AN561" s="1211"/>
      <c r="AO561" s="13"/>
      <c r="AP561" s="13"/>
    </row>
    <row r="562" spans="1:42" ht="15.75">
      <c r="A562" s="934"/>
      <c r="B562" s="1214" t="s">
        <v>977</v>
      </c>
      <c r="C562" s="1215" t="s">
        <v>691</v>
      </c>
      <c r="D562" s="1216">
        <v>125</v>
      </c>
      <c r="E562" s="1217">
        <v>1</v>
      </c>
      <c r="F562" s="1216">
        <v>100</v>
      </c>
      <c r="G562" s="17"/>
      <c r="H562" s="1218">
        <v>201</v>
      </c>
      <c r="I562" s="1218">
        <f>H562-H562*$I$560</f>
        <v>106.53</v>
      </c>
      <c r="J562" s="588"/>
      <c r="K562" s="254">
        <v>339</v>
      </c>
      <c r="L562" s="322">
        <v>153</v>
      </c>
      <c r="M562" s="335">
        <f>L562/D562*100%</f>
        <v>1.224</v>
      </c>
      <c r="N562" s="765">
        <f>K562-(K562*$O$33)</f>
        <v>169.5</v>
      </c>
      <c r="O562" s="386"/>
      <c r="P562" s="472">
        <f>((N562/I562)-1)*100%</f>
        <v>0.59110109828217405</v>
      </c>
      <c r="Q562" s="331">
        <v>1.9228388999999999</v>
      </c>
      <c r="R562" s="258">
        <f>Q562*$R$33</f>
        <v>90.436881983700005</v>
      </c>
      <c r="S562" s="232"/>
      <c r="T562" s="260">
        <f>((I562-R562)/I562)*100%</f>
        <v>0.15106653540129539</v>
      </c>
      <c r="U562" s="261">
        <v>1.6140000000000001</v>
      </c>
      <c r="V562" s="239">
        <f>U562*$X$31</f>
        <v>1.9368000000000001</v>
      </c>
      <c r="W562" s="239">
        <f>V562*$R$33</f>
        <v>91.093514400000004</v>
      </c>
      <c r="X562" s="240">
        <f>(ROUND(W562/(1-$AA$559),0))</f>
        <v>123</v>
      </c>
      <c r="Y562" s="239">
        <f>Z562*(1-$X$522)</f>
        <v>113.67999999999999</v>
      </c>
      <c r="Z562" s="240">
        <f>ROUND(X562/(1-$X$521),0)</f>
        <v>232</v>
      </c>
      <c r="AA562" s="241">
        <f>((X562-W562)/X562)*100%</f>
        <v>0.25940232195121948</v>
      </c>
      <c r="AB562" s="241">
        <f>((Y562-W562)/Y562)*100%</f>
        <v>0.19868477832512307</v>
      </c>
      <c r="AC562" s="265">
        <f>((N562/Y562)-1)*100%</f>
        <v>0.49102744546094312</v>
      </c>
      <c r="AD562" s="1004">
        <f>((N562*0.96-W562)/(N562*0.96))*100%</f>
        <v>0.44018243362831855</v>
      </c>
      <c r="AE562" s="238">
        <f>N562/$R$33</f>
        <v>3.6038526141219993</v>
      </c>
      <c r="AF562" s="239">
        <f>(V562/(1-$AA$559))</f>
        <v>2.6172972972972977</v>
      </c>
      <c r="AG562" s="1868">
        <v>4.9400000000000004</v>
      </c>
      <c r="AH562" s="244">
        <f>((AF562-V562)/AF562)*100%</f>
        <v>0.26000000000000006</v>
      </c>
      <c r="AI562" s="1210"/>
      <c r="AJ562" s="513"/>
      <c r="AK562" s="514"/>
      <c r="AM562" s="1211"/>
      <c r="AN562" s="1211"/>
      <c r="AO562" s="13"/>
      <c r="AP562" s="13"/>
    </row>
    <row r="563" spans="1:42">
      <c r="A563" s="934"/>
      <c r="B563" s="1214" t="s">
        <v>978</v>
      </c>
      <c r="C563" s="1215" t="s">
        <v>974</v>
      </c>
      <c r="D563" s="1216">
        <v>145</v>
      </c>
      <c r="E563" s="1217">
        <v>1</v>
      </c>
      <c r="F563" s="1216">
        <v>100</v>
      </c>
      <c r="G563" s="17"/>
      <c r="H563" s="1218">
        <v>214</v>
      </c>
      <c r="I563" s="1218">
        <f>H563-H563*$I$560</f>
        <v>113.42</v>
      </c>
      <c r="J563" s="588"/>
      <c r="K563" s="936"/>
      <c r="L563" s="937"/>
      <c r="M563" s="938"/>
      <c r="N563" s="939"/>
      <c r="P563" s="817"/>
      <c r="Q563" s="336">
        <v>2.04554795</v>
      </c>
      <c r="R563" s="258">
        <f>Q563*$R$33</f>
        <v>96.208256732350009</v>
      </c>
      <c r="S563" s="232"/>
      <c r="T563" s="260">
        <f>((I563-R563)/I563)*100%</f>
        <v>0.151752277090901</v>
      </c>
      <c r="U563" s="261">
        <v>1.7170000000000001</v>
      </c>
      <c r="V563" s="239">
        <f>U563*$X$31</f>
        <v>2.0604</v>
      </c>
      <c r="W563" s="239">
        <f>V563*$R$33</f>
        <v>96.90679320000001</v>
      </c>
      <c r="X563" s="240">
        <f>(ROUND(W563/(1-$AA$559),0))</f>
        <v>131</v>
      </c>
      <c r="Y563" s="239">
        <f>Z563*(1-$X$522)</f>
        <v>121.03</v>
      </c>
      <c r="Z563" s="240">
        <f>ROUND(X563/(1-$X$521),0)</f>
        <v>247</v>
      </c>
      <c r="AA563" s="241">
        <f>((X563-W563)/X563)*100%</f>
        <v>0.26025348702290069</v>
      </c>
      <c r="AB563" s="241">
        <f>((Y563-W563)/Y563)*100%</f>
        <v>0.19931592828224401</v>
      </c>
      <c r="AC563" s="265"/>
      <c r="AD563" s="1004"/>
      <c r="AE563" s="238">
        <f>N563/$R$33</f>
        <v>0</v>
      </c>
      <c r="AF563" s="239">
        <f>(V563/(1-$AA$559))</f>
        <v>2.7843243243243245</v>
      </c>
      <c r="AG563" s="1868">
        <v>5.25</v>
      </c>
      <c r="AH563" s="244">
        <f>((AF563-V563)/AF563)*100%</f>
        <v>0.26000000000000006</v>
      </c>
      <c r="AI563" s="1210"/>
      <c r="AJ563" s="513"/>
      <c r="AK563" s="514"/>
      <c r="AM563" s="1211"/>
      <c r="AN563" s="1211"/>
      <c r="AO563" s="13"/>
      <c r="AP563" s="13"/>
    </row>
    <row r="564" spans="1:42" ht="15.75" thickBot="1">
      <c r="A564" s="934"/>
      <c r="B564" s="1171" t="s">
        <v>978</v>
      </c>
      <c r="C564" s="1172" t="s">
        <v>975</v>
      </c>
      <c r="D564" s="1173">
        <v>145</v>
      </c>
      <c r="E564" s="1174">
        <v>1</v>
      </c>
      <c r="F564" s="1173">
        <v>100</v>
      </c>
      <c r="G564" s="17"/>
      <c r="H564" s="1218">
        <v>220</v>
      </c>
      <c r="I564" s="1218">
        <f>H564-H564*$I$560</f>
        <v>116.60000000000001</v>
      </c>
      <c r="J564" s="588"/>
      <c r="K564" s="936"/>
      <c r="L564" s="937"/>
      <c r="M564" s="938"/>
      <c r="N564" s="939"/>
      <c r="P564" s="817"/>
      <c r="Q564" s="336">
        <v>2.1074981499999996</v>
      </c>
      <c r="R564" s="258">
        <f>Q564*$R$33</f>
        <v>99.121960488949981</v>
      </c>
      <c r="S564" s="232"/>
      <c r="T564" s="260">
        <f>((I564-R564)/I564)*100%</f>
        <v>0.14989742290780469</v>
      </c>
      <c r="U564" s="261">
        <v>1.7689999999999999</v>
      </c>
      <c r="V564" s="239">
        <f>U564*$X$31</f>
        <v>2.1227999999999998</v>
      </c>
      <c r="W564" s="239">
        <f>V564*$R$33</f>
        <v>99.841652399999987</v>
      </c>
      <c r="X564" s="240">
        <f>(ROUND(W564/(1-$AA$559),0))</f>
        <v>135</v>
      </c>
      <c r="Y564" s="239">
        <f>Z564*(1-$X$522)</f>
        <v>124.95</v>
      </c>
      <c r="Z564" s="240">
        <f>ROUND(X564/(1-$X$521),0)</f>
        <v>255</v>
      </c>
      <c r="AA564" s="241">
        <f>((X564-W564)/X564)*100%</f>
        <v>0.26043220444444454</v>
      </c>
      <c r="AB564" s="241">
        <f>((Y564-W564)/Y564)*100%</f>
        <v>0.20094715966386567</v>
      </c>
      <c r="AC564" s="265"/>
      <c r="AD564" s="1004"/>
      <c r="AE564" s="238">
        <f>N564/$R$33</f>
        <v>0</v>
      </c>
      <c r="AF564" s="239">
        <f>(V564/(1-$AA$559))</f>
        <v>2.8686486486486484</v>
      </c>
      <c r="AG564" s="1868">
        <v>5.41</v>
      </c>
      <c r="AH564" s="244">
        <f>((AF564-V564)/AF564)*100%</f>
        <v>0.26</v>
      </c>
      <c r="AI564" s="1210"/>
      <c r="AJ564" s="513"/>
      <c r="AK564" s="514"/>
      <c r="AM564" s="1211"/>
      <c r="AN564" s="1211"/>
      <c r="AO564" s="13"/>
      <c r="AP564" s="13"/>
    </row>
    <row r="565" spans="1:42">
      <c r="A565" s="934"/>
      <c r="B565" s="540"/>
      <c r="C565" s="540"/>
      <c r="D565" s="540"/>
      <c r="E565" s="540"/>
      <c r="F565" s="540"/>
      <c r="G565" s="17"/>
      <c r="H565" s="540"/>
      <c r="I565" s="530"/>
      <c r="J565" s="588"/>
      <c r="K565" s="936"/>
      <c r="L565" s="937"/>
      <c r="M565" s="938"/>
      <c r="N565" s="939"/>
      <c r="P565" s="817"/>
      <c r="Q565" s="1091"/>
      <c r="R565" s="1092"/>
      <c r="S565" s="364"/>
      <c r="T565" s="367"/>
      <c r="U565" s="366"/>
      <c r="V565" s="366"/>
      <c r="W565" s="366"/>
      <c r="X565" s="366"/>
      <c r="Y565" s="366"/>
      <c r="Z565" s="366"/>
      <c r="AA565" s="367"/>
      <c r="AB565" s="367"/>
      <c r="AC565" s="367"/>
      <c r="AD565" s="367"/>
      <c r="AE565" s="366"/>
      <c r="AF565" s="366"/>
      <c r="AG565" s="1872"/>
      <c r="AH565" s="367"/>
      <c r="AI565" s="1210"/>
      <c r="AJ565" s="513"/>
      <c r="AK565" s="514"/>
      <c r="AM565" s="1211"/>
      <c r="AN565" s="1211"/>
      <c r="AO565" s="13"/>
      <c r="AP565" s="13"/>
    </row>
    <row r="566" spans="1:42">
      <c r="A566" s="934"/>
      <c r="B566" s="540"/>
      <c r="C566" s="540"/>
      <c r="D566" s="540"/>
      <c r="E566" s="540"/>
      <c r="F566" s="540"/>
      <c r="G566" s="540"/>
      <c r="H566" s="530"/>
      <c r="I566" s="587"/>
      <c r="J566" s="588"/>
      <c r="K566" s="936"/>
      <c r="L566" s="937"/>
      <c r="M566" s="938"/>
      <c r="N566" s="939"/>
      <c r="AO566" s="13"/>
      <c r="AP566" s="13"/>
    </row>
    <row r="567" spans="1:42">
      <c r="A567" s="934"/>
      <c r="B567" s="540"/>
      <c r="C567" s="1150" t="s">
        <v>1286</v>
      </c>
      <c r="D567" s="540"/>
      <c r="E567" s="540"/>
      <c r="J567" s="588"/>
      <c r="K567" s="936"/>
      <c r="L567" s="937"/>
      <c r="M567" s="938"/>
      <c r="N567" s="939"/>
      <c r="AO567" s="13"/>
      <c r="AP567" s="13"/>
    </row>
    <row r="568" spans="1:42">
      <c r="A568" s="1147" t="s">
        <v>1</v>
      </c>
      <c r="B568" s="540"/>
      <c r="C568" s="540"/>
      <c r="D568" s="540"/>
      <c r="E568" s="540"/>
      <c r="F568" s="540"/>
      <c r="G568" s="540"/>
      <c r="H568" s="530"/>
      <c r="I568" s="587"/>
      <c r="J568" s="588"/>
      <c r="K568" s="936"/>
      <c r="L568" s="937"/>
      <c r="M568" s="938"/>
      <c r="N568" s="939"/>
      <c r="AO568" s="13"/>
      <c r="AP568" s="13"/>
    </row>
    <row r="569" spans="1:42">
      <c r="A569" s="2356" t="s">
        <v>1287</v>
      </c>
      <c r="B569" s="2356"/>
      <c r="C569" s="2356"/>
      <c r="D569" s="2356"/>
      <c r="E569" s="2356"/>
      <c r="F569" s="2356"/>
      <c r="G569" s="2356"/>
      <c r="H569" s="1148"/>
      <c r="I569" s="587"/>
      <c r="J569" s="588"/>
      <c r="K569" s="936"/>
      <c r="L569" s="937"/>
      <c r="M569" s="938"/>
      <c r="N569" s="939"/>
      <c r="AO569" s="13"/>
      <c r="AP569" s="13"/>
    </row>
    <row r="570" spans="1:42">
      <c r="A570" s="2361" t="s">
        <v>1288</v>
      </c>
      <c r="B570" s="2361"/>
      <c r="C570" s="2361"/>
      <c r="D570" s="2361"/>
      <c r="E570" s="2361"/>
      <c r="F570" s="2361"/>
      <c r="G570" s="2361"/>
      <c r="H570" s="1219"/>
      <c r="I570" s="587"/>
      <c r="J570" s="588"/>
      <c r="K570" s="936"/>
      <c r="L570" s="937"/>
      <c r="M570" s="938"/>
      <c r="N570" s="939"/>
      <c r="AO570" s="13"/>
      <c r="AP570" s="13"/>
    </row>
    <row r="571" spans="1:42" ht="59.25" customHeight="1">
      <c r="A571" s="2361" t="s">
        <v>1283</v>
      </c>
      <c r="B571" s="2361"/>
      <c r="C571" s="2361"/>
      <c r="D571" s="2361"/>
      <c r="E571" s="2361"/>
      <c r="F571" s="2361"/>
      <c r="G571" s="2361"/>
      <c r="H571" s="1219"/>
      <c r="I571" s="587"/>
      <c r="J571" s="588"/>
      <c r="K571" s="936"/>
      <c r="L571" s="937"/>
      <c r="M571" s="938"/>
      <c r="N571" s="939"/>
      <c r="AO571" s="13"/>
      <c r="AP571" s="13"/>
    </row>
    <row r="572" spans="1:42">
      <c r="A572" s="1147" t="s">
        <v>2</v>
      </c>
      <c r="B572" s="540"/>
      <c r="C572" s="1149"/>
      <c r="D572" s="540"/>
      <c r="E572" s="1149"/>
      <c r="F572" s="540"/>
      <c r="G572" s="1149"/>
      <c r="H572" s="1147"/>
      <c r="I572" s="1186"/>
      <c r="J572" s="588"/>
      <c r="K572" s="936"/>
      <c r="L572" s="937"/>
      <c r="M572" s="938"/>
      <c r="N572" s="939"/>
      <c r="AO572" s="13"/>
      <c r="AP572" s="13"/>
    </row>
    <row r="573" spans="1:42" ht="33.75" customHeight="1">
      <c r="A573" s="2361" t="s">
        <v>1289</v>
      </c>
      <c r="B573" s="2361"/>
      <c r="C573" s="2361"/>
      <c r="D573" s="2361"/>
      <c r="E573" s="2361"/>
      <c r="F573" s="2361"/>
      <c r="G573" s="2361"/>
      <c r="H573" s="1219"/>
      <c r="I573" s="587"/>
      <c r="J573" s="588"/>
      <c r="K573" s="936"/>
      <c r="L573" s="937"/>
      <c r="M573" s="938"/>
      <c r="N573" s="939"/>
      <c r="AO573" s="13"/>
      <c r="AP573" s="13"/>
    </row>
    <row r="574" spans="1:42">
      <c r="A574" s="1142" t="s">
        <v>692</v>
      </c>
      <c r="B574" s="1839"/>
      <c r="C574" s="2362" t="s">
        <v>1290</v>
      </c>
      <c r="D574" s="2362"/>
      <c r="E574" s="1839"/>
      <c r="F574" s="1839"/>
      <c r="G574" s="1839"/>
      <c r="H574" s="1219"/>
      <c r="I574" s="587"/>
      <c r="J574" s="588"/>
      <c r="K574" s="936"/>
      <c r="L574" s="937"/>
      <c r="M574" s="938"/>
      <c r="N574" s="939"/>
      <c r="S574" s="154"/>
      <c r="AO574" s="13"/>
      <c r="AP574" s="13"/>
    </row>
    <row r="575" spans="1:42" ht="15.75" thickBot="1">
      <c r="A575" s="934"/>
      <c r="B575" s="540"/>
      <c r="C575" s="540" t="s">
        <v>31</v>
      </c>
      <c r="D575" s="540"/>
      <c r="E575" s="540"/>
      <c r="F575" s="540"/>
      <c r="G575" s="540"/>
      <c r="H575" s="530"/>
      <c r="I575" s="587"/>
      <c r="J575" s="588"/>
      <c r="K575" s="1850" t="s">
        <v>1291</v>
      </c>
      <c r="L575" s="1850"/>
      <c r="M575" s="1850"/>
      <c r="N575" s="898"/>
      <c r="O575" s="899"/>
      <c r="P575" s="459"/>
      <c r="T575" s="1851"/>
      <c r="U575" s="627"/>
      <c r="V575" s="627"/>
      <c r="W575" s="627"/>
      <c r="X575" s="627"/>
      <c r="Y575" s="627"/>
      <c r="Z575" s="627"/>
      <c r="AA575" s="614">
        <v>0.15</v>
      </c>
      <c r="AB575" s="628">
        <v>0.18</v>
      </c>
      <c r="AC575" s="628"/>
      <c r="AD575" s="1851"/>
      <c r="AE575" s="188"/>
      <c r="AF575" s="188"/>
      <c r="AG575" s="1866"/>
      <c r="AH575" s="1851"/>
      <c r="AO575" s="13"/>
      <c r="AP575" s="13"/>
    </row>
    <row r="576" spans="1:42" ht="60.75" thickBot="1">
      <c r="A576" s="934"/>
      <c r="B576" s="589" t="s">
        <v>10</v>
      </c>
      <c r="C576" s="590" t="s">
        <v>11</v>
      </c>
      <c r="D576" s="590" t="s">
        <v>12</v>
      </c>
      <c r="E576" s="590" t="s">
        <v>13</v>
      </c>
      <c r="F576" s="590" t="s">
        <v>14</v>
      </c>
      <c r="G576" s="591" t="s">
        <v>15</v>
      </c>
      <c r="H576" s="592" t="s">
        <v>1090</v>
      </c>
      <c r="I576" s="592">
        <f>$C$16</f>
        <v>0.47</v>
      </c>
      <c r="J576" s="593">
        <f>$C$16</f>
        <v>0.47</v>
      </c>
      <c r="K576" s="548" t="s">
        <v>15</v>
      </c>
      <c r="L576" s="423" t="s">
        <v>12</v>
      </c>
      <c r="M576" s="196" t="s">
        <v>1091</v>
      </c>
      <c r="N576" s="549" t="s">
        <v>993</v>
      </c>
      <c r="O576" s="198" t="s">
        <v>1092</v>
      </c>
      <c r="P576" s="696" t="s">
        <v>1092</v>
      </c>
      <c r="Q576" s="752" t="s">
        <v>1093</v>
      </c>
      <c r="R576" s="201" t="s">
        <v>1094</v>
      </c>
      <c r="S576" s="202" t="s">
        <v>1095</v>
      </c>
      <c r="T576" s="1220" t="s">
        <v>1095</v>
      </c>
      <c r="U576" s="204" t="s">
        <v>1096</v>
      </c>
      <c r="V576" s="205" t="s">
        <v>1093</v>
      </c>
      <c r="W576" s="206" t="s">
        <v>1094</v>
      </c>
      <c r="X576" s="207" t="s">
        <v>1097</v>
      </c>
      <c r="Y576" s="208">
        <f>$X$500</f>
        <v>0.52</v>
      </c>
      <c r="Z576" s="207" t="s">
        <v>1098</v>
      </c>
      <c r="AA576" s="209" t="s">
        <v>1099</v>
      </c>
      <c r="AB576" s="209" t="s">
        <v>1100</v>
      </c>
      <c r="AC576" s="210" t="s">
        <v>1092</v>
      </c>
      <c r="AD576" s="211" t="s">
        <v>1101</v>
      </c>
      <c r="AE576" s="209" t="s">
        <v>1102</v>
      </c>
      <c r="AF576" s="208" t="s">
        <v>1103</v>
      </c>
      <c r="AG576" s="1867" t="s">
        <v>1104</v>
      </c>
      <c r="AH576" s="213" t="s">
        <v>1116</v>
      </c>
      <c r="AI576" s="1221" t="s">
        <v>1106</v>
      </c>
      <c r="AJ576" s="483" t="s">
        <v>1107</v>
      </c>
      <c r="AK576" s="484" t="s">
        <v>1108</v>
      </c>
      <c r="AL576" s="221" t="s">
        <v>1109</v>
      </c>
      <c r="AM576" s="221" t="s">
        <v>1175</v>
      </c>
      <c r="AN576" s="221" t="s">
        <v>1176</v>
      </c>
      <c r="AO576" s="13"/>
      <c r="AP576" s="13"/>
    </row>
    <row r="577" spans="1:42" ht="16.5" thickBot="1">
      <c r="A577" s="934"/>
      <c r="B577" s="1191" t="s">
        <v>1292</v>
      </c>
      <c r="C577" s="1192" t="s">
        <v>190</v>
      </c>
      <c r="D577" s="1193">
        <v>800</v>
      </c>
      <c r="E577" s="1192">
        <v>1</v>
      </c>
      <c r="F577" s="1193">
        <v>15</v>
      </c>
      <c r="G577" s="1194">
        <v>934.99759036144576</v>
      </c>
      <c r="H577" s="1222">
        <f>G577*(1+$H$33)</f>
        <v>1000.447421686747</v>
      </c>
      <c r="I577" s="1222">
        <f>H577-H577*$J$526</f>
        <v>530.23713349397599</v>
      </c>
      <c r="J577" s="1223">
        <f>G577-G577*$J$526</f>
        <v>495.54872289156629</v>
      </c>
      <c r="K577" s="1224">
        <v>1105</v>
      </c>
      <c r="L577" s="758">
        <v>723</v>
      </c>
      <c r="M577" s="1225">
        <f>L577/D577*100%</f>
        <v>0.90375000000000005</v>
      </c>
      <c r="N577" s="767">
        <f>K577-(K577*$O$33)</f>
        <v>552.5</v>
      </c>
      <c r="O577" s="1226">
        <f>((N577/J577)-1)*100%</f>
        <v>0.11492568637069334</v>
      </c>
      <c r="P577" s="696">
        <f>((N577/I577)-1)*100%</f>
        <v>4.1986622776348792E-2</v>
      </c>
      <c r="Q577" s="697">
        <v>10.93</v>
      </c>
      <c r="R577" s="258">
        <f>Q577*$R$33</f>
        <v>514.07069000000001</v>
      </c>
      <c r="S577" s="259">
        <f>((J577-R577)/J577)*100%</f>
        <v>-3.7376682156209734E-2</v>
      </c>
      <c r="T577" s="1227">
        <f>((I577-R577)/I577)*100%</f>
        <v>3.0489082097000363E-2</v>
      </c>
      <c r="U577" s="238">
        <v>9.3529999999999998</v>
      </c>
      <c r="V577" s="239">
        <f>U577*$X$31</f>
        <v>11.223599999999999</v>
      </c>
      <c r="W577" s="239">
        <f>V577*$R$33</f>
        <v>527.87957879999999</v>
      </c>
      <c r="X577" s="240">
        <f>(ROUND(W577/(1-$AA$575),0))</f>
        <v>621</v>
      </c>
      <c r="Y577" s="239">
        <f>Z577*(1-$X$522)</f>
        <v>574.28</v>
      </c>
      <c r="Z577" s="240">
        <f>ROUND(X577/(1-$X$521),0)</f>
        <v>1172</v>
      </c>
      <c r="AA577" s="241">
        <f>((X577-W577)/X577)*100%</f>
        <v>0.14995236908212561</v>
      </c>
      <c r="AB577" s="241">
        <f>((Y577-W577)/Y577)*100%</f>
        <v>8.0797557289127228E-2</v>
      </c>
      <c r="AC577" s="265">
        <f>((N577/Y577)-1)*100%</f>
        <v>-3.7925750504980149E-2</v>
      </c>
      <c r="AD577" s="1004">
        <f>((N577*0.96-W577)/(N577*0.96))*100%</f>
        <v>4.7519253393664912E-3</v>
      </c>
      <c r="AE577" s="238">
        <f>N577/$R$33</f>
        <v>11.747071205323921</v>
      </c>
      <c r="AF577" s="239">
        <f>(V577/(1-$AA$575))</f>
        <v>13.204235294117646</v>
      </c>
      <c r="AG577" s="1868">
        <v>24.91</v>
      </c>
      <c r="AH577" s="244">
        <f>((AF577-V577)/AF577)*100%</f>
        <v>0.15</v>
      </c>
      <c r="AI577" s="866">
        <f>AJ577/$AJ$585</f>
        <v>0.52519083969465652</v>
      </c>
      <c r="AJ577" s="338">
        <f>VLOOKUP($B577,[1]Статистика!$B:$D,3,FALSE)</f>
        <v>2064</v>
      </c>
      <c r="AK577" s="865">
        <f>AJ577*Q577*S577</f>
        <v>-843.20000863665666</v>
      </c>
      <c r="AL577" s="866">
        <f>AK577/$AK$585</f>
        <v>0.49040988445240569</v>
      </c>
      <c r="AM577" s="92">
        <f>AJ577/$AJ$587</f>
        <v>0.11626858945470933</v>
      </c>
      <c r="AN577" s="92">
        <f>AK577/$AK$587</f>
        <v>-2.7401265664073722</v>
      </c>
      <c r="AO577" s="13"/>
      <c r="AP577" s="13"/>
    </row>
    <row r="578" spans="1:42" ht="15.75" thickBot="1">
      <c r="A578" s="934"/>
      <c r="B578" s="1228" t="s">
        <v>1293</v>
      </c>
      <c r="C578" s="1205" t="s">
        <v>192</v>
      </c>
      <c r="D578" s="1206">
        <v>805</v>
      </c>
      <c r="E578" s="1205">
        <v>1</v>
      </c>
      <c r="F578" s="1206">
        <v>15</v>
      </c>
      <c r="G578" s="1207">
        <v>932.94265060241003</v>
      </c>
      <c r="H578" s="577">
        <f>G578*(1+$H$33)</f>
        <v>998.24863614457877</v>
      </c>
      <c r="I578" s="577">
        <f>H578-H578*$J$526</f>
        <v>529.07177715662669</v>
      </c>
      <c r="J578" s="1208">
        <f>G578-G578*$J$553</f>
        <v>494.45960481927733</v>
      </c>
      <c r="K578" s="1229"/>
      <c r="L578" s="1230"/>
      <c r="M578" s="1231"/>
      <c r="N578" s="1232"/>
      <c r="O578" s="1233"/>
      <c r="P578" s="1233"/>
      <c r="Q578" s="284">
        <v>10.9633</v>
      </c>
      <c r="R578" s="285">
        <f>Q578*$R$33</f>
        <v>515.63688890000003</v>
      </c>
      <c r="S578" s="286">
        <f>((J578-R578)/J578)*100%</f>
        <v>-4.2829148982681607E-2</v>
      </c>
      <c r="T578" s="1234">
        <f>((I578-R578)/I578)*100%</f>
        <v>2.5393318707774112E-2</v>
      </c>
      <c r="U578" s="288">
        <v>9.3320000000000007</v>
      </c>
      <c r="V578" s="291">
        <f>U578*$X$31</f>
        <v>11.198400000000001</v>
      </c>
      <c r="W578" s="239">
        <f>V578*$R$33</f>
        <v>526.69434720000004</v>
      </c>
      <c r="X578" s="240">
        <f>(ROUND(W578/(1-$AB$575),0))</f>
        <v>642</v>
      </c>
      <c r="Y578" s="239">
        <f>Z578*(1-$X$522)</f>
        <v>593.39</v>
      </c>
      <c r="Z578" s="240">
        <f>ROUND(X578/(1-$X$521),0)</f>
        <v>1211</v>
      </c>
      <c r="AA578" s="241">
        <f>((X578-W578)/X578)*100%</f>
        <v>0.17960382056074761</v>
      </c>
      <c r="AB578" s="241">
        <f>((Y578-W578)/Y578)*100%</f>
        <v>0.11239766898666972</v>
      </c>
      <c r="AC578" s="265"/>
      <c r="AD578" s="1004"/>
      <c r="AE578" s="238">
        <f>N578/$R$33</f>
        <v>0</v>
      </c>
      <c r="AF578" s="239">
        <f>(V578/(1-$AB$575))</f>
        <v>13.656585365853658</v>
      </c>
      <c r="AG578" s="1868">
        <v>25.77</v>
      </c>
      <c r="AH578" s="244">
        <f>((AF578-V578)/AF578)*100%</f>
        <v>0.17999999999999988</v>
      </c>
      <c r="AI578" s="506">
        <f>AJ578/$AJ$585</f>
        <v>0.47480916030534354</v>
      </c>
      <c r="AJ578" s="399">
        <f>VLOOKUP($B578,[1]Статистика!$B:$D,3,FALSE)</f>
        <v>1866</v>
      </c>
      <c r="AK578" s="859">
        <f>AJ578*Q578*S578</f>
        <v>-876.17807767206091</v>
      </c>
      <c r="AL578" s="921">
        <f>AK578/$AK$585</f>
        <v>0.50959011554759426</v>
      </c>
      <c r="AM578" s="65">
        <f>AJ578/$AJ$587</f>
        <v>0.10511491662911221</v>
      </c>
      <c r="AN578" s="77">
        <f>AK578/$AK$587</f>
        <v>-2.8472945955192719</v>
      </c>
      <c r="AO578" s="13"/>
      <c r="AP578" s="13"/>
    </row>
    <row r="579" spans="1:42">
      <c r="A579" s="934"/>
      <c r="B579" s="516"/>
      <c r="C579" s="1235"/>
      <c r="D579" s="1236"/>
      <c r="E579" s="1235"/>
      <c r="F579" s="1236"/>
      <c r="G579" s="1237"/>
      <c r="H579" s="1238"/>
      <c r="I579" s="1238"/>
      <c r="J579" s="1239"/>
      <c r="K579" s="1240"/>
      <c r="L579" s="1241"/>
      <c r="M579" s="1242"/>
      <c r="N579" s="1243"/>
      <c r="O579" s="1244"/>
      <c r="P579" s="1244"/>
      <c r="Q579" s="1245"/>
      <c r="R579" s="1246"/>
      <c r="S579" s="1247"/>
      <c r="T579" s="1247"/>
      <c r="U579" s="1248"/>
      <c r="V579" s="1248"/>
      <c r="W579" s="1248"/>
      <c r="X579" s="1248"/>
      <c r="Y579" s="1248"/>
      <c r="Z579" s="1248"/>
      <c r="AA579" s="1247"/>
      <c r="AB579" s="1247"/>
      <c r="AC579" s="1247"/>
      <c r="AD579" s="1247"/>
      <c r="AE579" s="1248"/>
      <c r="AF579" s="1248"/>
      <c r="AG579" s="1892"/>
      <c r="AH579" s="1247"/>
      <c r="AI579" s="1249"/>
      <c r="AJ579" s="1250"/>
      <c r="AK579" s="1251"/>
      <c r="AL579" s="1252"/>
      <c r="AM579" s="1253"/>
      <c r="AN579" s="459"/>
      <c r="AO579" s="13"/>
      <c r="AP579" s="13"/>
    </row>
    <row r="580" spans="1:42">
      <c r="A580" s="1142" t="s">
        <v>986</v>
      </c>
      <c r="B580" s="1839"/>
      <c r="C580" s="2362" t="s">
        <v>985</v>
      </c>
      <c r="D580" s="2362"/>
      <c r="E580" s="2362"/>
      <c r="F580" s="2362"/>
      <c r="G580" s="1839"/>
      <c r="H580" s="1058"/>
      <c r="I580" s="1238"/>
      <c r="J580" s="1239"/>
      <c r="K580" s="1240"/>
      <c r="L580" s="1241"/>
      <c r="M580" s="1242"/>
      <c r="N580" s="1243"/>
      <c r="O580" s="1244"/>
      <c r="P580" s="1244"/>
      <c r="Q580" s="1245"/>
      <c r="R580" s="1246"/>
      <c r="S580" s="1247"/>
      <c r="T580" s="1247"/>
      <c r="U580" s="1248"/>
      <c r="V580" s="1248"/>
      <c r="W580" s="1248"/>
      <c r="X580" s="1248"/>
      <c r="Y580" s="1248"/>
      <c r="Z580" s="1248"/>
      <c r="AA580" s="1247"/>
      <c r="AB580" s="1247"/>
      <c r="AC580" s="1247"/>
      <c r="AD580" s="1247"/>
      <c r="AE580" s="1248"/>
      <c r="AF580" s="1248"/>
      <c r="AG580" s="1892"/>
      <c r="AH580" s="1247"/>
      <c r="AI580" s="1249"/>
      <c r="AJ580" s="1250"/>
      <c r="AK580" s="1251"/>
      <c r="AL580" s="1252"/>
      <c r="AM580" s="1253"/>
      <c r="AN580" s="459"/>
      <c r="AO580" s="13"/>
      <c r="AP580" s="13"/>
    </row>
    <row r="581" spans="1:42" ht="15.75" thickBot="1">
      <c r="A581" s="934"/>
      <c r="B581" s="934"/>
      <c r="C581" s="1163" t="s">
        <v>31</v>
      </c>
      <c r="D581" s="586"/>
      <c r="E581" s="2363" t="s">
        <v>987</v>
      </c>
      <c r="F581" s="2363"/>
      <c r="G581" s="2363"/>
      <c r="H581" s="1058"/>
      <c r="I581" s="1238"/>
      <c r="J581" s="1239"/>
      <c r="K581" s="1240"/>
      <c r="L581" s="1241"/>
      <c r="M581" s="1242"/>
      <c r="N581" s="1243"/>
      <c r="O581" s="1244"/>
      <c r="P581" s="1244"/>
      <c r="Q581" s="1245"/>
      <c r="R581" s="1246"/>
      <c r="S581" s="1247"/>
      <c r="T581" s="1851"/>
      <c r="U581" s="627"/>
      <c r="V581" s="627"/>
      <c r="W581" s="627"/>
      <c r="X581" s="627"/>
      <c r="Y581" s="627"/>
      <c r="Z581" s="627"/>
      <c r="AA581" s="614">
        <v>0.15</v>
      </c>
      <c r="AB581" s="628"/>
      <c r="AC581" s="628"/>
      <c r="AD581" s="1851"/>
      <c r="AE581" s="188"/>
      <c r="AF581" s="188"/>
      <c r="AG581" s="1866"/>
      <c r="AH581" s="1851"/>
      <c r="AI581" s="1249"/>
      <c r="AJ581" s="1250"/>
      <c r="AK581" s="1251"/>
      <c r="AL581" s="1252"/>
      <c r="AM581" s="1253"/>
      <c r="AN581" s="459"/>
      <c r="AO581" s="13"/>
      <c r="AP581" s="13"/>
    </row>
    <row r="582" spans="1:42" ht="36.75" thickBot="1">
      <c r="A582" s="934"/>
      <c r="B582" s="1164" t="s">
        <v>10</v>
      </c>
      <c r="C582" s="1165" t="s">
        <v>11</v>
      </c>
      <c r="D582" s="1166" t="s">
        <v>12</v>
      </c>
      <c r="E582" s="1166" t="s">
        <v>13</v>
      </c>
      <c r="F582" s="590" t="s">
        <v>14</v>
      </c>
      <c r="G582" s="17"/>
      <c r="H582" s="592" t="s">
        <v>1090</v>
      </c>
      <c r="I582" s="592">
        <f>$C$16</f>
        <v>0.47</v>
      </c>
      <c r="J582" s="1239"/>
      <c r="K582" s="548" t="s">
        <v>15</v>
      </c>
      <c r="L582" s="423" t="s">
        <v>12</v>
      </c>
      <c r="M582" s="196" t="s">
        <v>1091</v>
      </c>
      <c r="N582" s="549" t="s">
        <v>993</v>
      </c>
      <c r="O582" s="198" t="s">
        <v>1092</v>
      </c>
      <c r="P582" s="1244"/>
      <c r="Q582" s="752" t="s">
        <v>1093</v>
      </c>
      <c r="R582" s="201" t="s">
        <v>1094</v>
      </c>
      <c r="S582" s="202" t="s">
        <v>1095</v>
      </c>
      <c r="T582" s="958" t="s">
        <v>1095</v>
      </c>
      <c r="U582" s="204" t="s">
        <v>1096</v>
      </c>
      <c r="V582" s="205" t="s">
        <v>1093</v>
      </c>
      <c r="W582" s="206" t="s">
        <v>1094</v>
      </c>
      <c r="X582" s="207" t="s">
        <v>1097</v>
      </c>
      <c r="Y582" s="208">
        <f>$X$500</f>
        <v>0.52</v>
      </c>
      <c r="Z582" s="207" t="s">
        <v>1098</v>
      </c>
      <c r="AA582" s="209" t="s">
        <v>1099</v>
      </c>
      <c r="AB582" s="209" t="s">
        <v>1100</v>
      </c>
      <c r="AC582" s="210" t="s">
        <v>1092</v>
      </c>
      <c r="AD582" s="211" t="s">
        <v>1101</v>
      </c>
      <c r="AE582" s="209" t="s">
        <v>1102</v>
      </c>
      <c r="AF582" s="208" t="s">
        <v>1103</v>
      </c>
      <c r="AG582" s="1867" t="s">
        <v>1104</v>
      </c>
      <c r="AH582" s="213" t="s">
        <v>1116</v>
      </c>
      <c r="AI582" s="1249"/>
      <c r="AJ582" s="1250"/>
      <c r="AK582" s="1251"/>
      <c r="AL582" s="1252"/>
      <c r="AM582" s="1253"/>
      <c r="AN582" s="459"/>
      <c r="AO582" s="13"/>
      <c r="AP582" s="13"/>
    </row>
    <row r="583" spans="1:42" ht="16.5" thickBot="1">
      <c r="A583" s="934"/>
      <c r="B583" s="1167" t="s">
        <v>1017</v>
      </c>
      <c r="C583" s="1168" t="s">
        <v>1019</v>
      </c>
      <c r="D583" s="1169">
        <v>1510</v>
      </c>
      <c r="E583" s="1170">
        <v>1</v>
      </c>
      <c r="F583" s="1169">
        <v>10</v>
      </c>
      <c r="G583" s="17"/>
      <c r="H583" s="1254">
        <v>1289</v>
      </c>
      <c r="I583" s="1255">
        <f>H583-H583*$I$582</f>
        <v>683.17000000000007</v>
      </c>
      <c r="J583" s="1239"/>
      <c r="K583" s="1224">
        <v>1546</v>
      </c>
      <c r="L583" s="758">
        <v>723</v>
      </c>
      <c r="M583" s="1225">
        <f>L583/D583*100%</f>
        <v>0.47880794701986756</v>
      </c>
      <c r="N583" s="767">
        <f>K583-(K583*$O$33)</f>
        <v>773</v>
      </c>
      <c r="O583" s="1226"/>
      <c r="P583" s="1244"/>
      <c r="Q583" s="697">
        <v>14.9752695</v>
      </c>
      <c r="R583" s="258">
        <f>Q583*$R$33</f>
        <v>704.33185039349996</v>
      </c>
      <c r="S583" s="232"/>
      <c r="T583" s="325">
        <f>((I583-R583)/I583)*100%</f>
        <v>-3.0975965562744102E-2</v>
      </c>
      <c r="U583" s="238">
        <v>12.57</v>
      </c>
      <c r="V583" s="239">
        <f>U583*$X$31</f>
        <v>15.084</v>
      </c>
      <c r="W583" s="239">
        <f>V583*$R$33</f>
        <v>709.44577200000003</v>
      </c>
      <c r="X583" s="240">
        <f>(ROUND(W583/(1-$AA$581),0))</f>
        <v>835</v>
      </c>
      <c r="Y583" s="239">
        <f>Z583*(1-$X$522)</f>
        <v>771.75</v>
      </c>
      <c r="Z583" s="240">
        <f>ROUND(X583/(1-$X$521),0)</f>
        <v>1575</v>
      </c>
      <c r="AA583" s="241">
        <f>((X583-W583)/X583)*100%</f>
        <v>0.15036434491017961</v>
      </c>
      <c r="AB583" s="241">
        <f>((Y583-W583)/Y583)*100%</f>
        <v>8.073110204081628E-2</v>
      </c>
      <c r="AC583" s="265">
        <f>((N583/Y583)-1)*100%</f>
        <v>1.6196954972464983E-3</v>
      </c>
      <c r="AD583" s="1004">
        <f>((N583*0.96-W583)/(N583*0.96))*100%</f>
        <v>4.3976697930142167E-2</v>
      </c>
      <c r="AE583" s="238">
        <f>N583/$R$33</f>
        <v>16.435268853783512</v>
      </c>
      <c r="AF583" s="239">
        <f>(V583/(1-$AA$581))</f>
        <v>17.745882352941177</v>
      </c>
      <c r="AG583" s="1868">
        <v>33.479999999999997</v>
      </c>
      <c r="AH583" s="244">
        <f>((AF583-V583)/AF583)*100%</f>
        <v>0.15000000000000002</v>
      </c>
      <c r="AI583" s="1249"/>
      <c r="AJ583" s="1250"/>
      <c r="AK583" s="1251"/>
      <c r="AL583" s="1252"/>
      <c r="AM583" s="1253"/>
      <c r="AN583" s="459"/>
      <c r="AO583" s="13"/>
      <c r="AP583" s="13"/>
    </row>
    <row r="584" spans="1:42" ht="15.75" thickBot="1">
      <c r="A584" s="934"/>
      <c r="B584" s="1171" t="s">
        <v>1018</v>
      </c>
      <c r="C584" s="1172" t="s">
        <v>1019</v>
      </c>
      <c r="D584" s="1173">
        <v>1510</v>
      </c>
      <c r="E584" s="1174">
        <v>1</v>
      </c>
      <c r="F584" s="1173">
        <v>10</v>
      </c>
      <c r="G584" s="17"/>
      <c r="H584" s="1256">
        <v>1287</v>
      </c>
      <c r="I584" s="1255">
        <f>H584-H584*$I$582</f>
        <v>682.11</v>
      </c>
      <c r="J584" s="1239"/>
      <c r="K584" s="1240"/>
      <c r="L584" s="1241"/>
      <c r="M584" s="1242"/>
      <c r="N584" s="1243"/>
      <c r="O584" s="1244"/>
      <c r="P584" s="1244"/>
      <c r="Q584" s="284">
        <v>14.9752695</v>
      </c>
      <c r="R584" s="285">
        <f>Q584*$R$33</f>
        <v>704.33185039349996</v>
      </c>
      <c r="S584" s="283"/>
      <c r="T584" s="1089">
        <f>((I584-R584)/I584)*100%</f>
        <v>-3.2578103815366945E-2</v>
      </c>
      <c r="U584" s="261">
        <v>12.57</v>
      </c>
      <c r="V584" s="239">
        <f>U584*$X$31</f>
        <v>15.084</v>
      </c>
      <c r="W584" s="262">
        <f>V584*$R$33</f>
        <v>709.44577200000003</v>
      </c>
      <c r="X584" s="240">
        <f>(ROUND(W584/(1-$AA$581),0))</f>
        <v>835</v>
      </c>
      <c r="Y584" s="239">
        <f>Z584*(1-$X$522)</f>
        <v>771.75</v>
      </c>
      <c r="Z584" s="240">
        <f>ROUND(X584/(1-$X$521),0)</f>
        <v>1575</v>
      </c>
      <c r="AA584" s="264">
        <f>((X584-W584)/X584)*100%</f>
        <v>0.15036434491017961</v>
      </c>
      <c r="AB584" s="241">
        <f>((Y584-W584)/Y584)*100%</f>
        <v>8.073110204081628E-2</v>
      </c>
      <c r="AC584" s="242"/>
      <c r="AD584" s="1004"/>
      <c r="AE584" s="261">
        <f>N584/$R$33</f>
        <v>0</v>
      </c>
      <c r="AF584" s="239">
        <f>(V584/(1-$AA$581))</f>
        <v>17.745882352941177</v>
      </c>
      <c r="AG584" s="1869">
        <v>33.479999999999997</v>
      </c>
      <c r="AH584" s="267">
        <f>((AF584-V584)/AF584)*100%</f>
        <v>0.15000000000000002</v>
      </c>
      <c r="AI584" s="1249"/>
      <c r="AJ584" s="1250"/>
      <c r="AK584" s="1251"/>
      <c r="AL584" s="1252"/>
      <c r="AM584" s="1253"/>
      <c r="AN584" s="459"/>
      <c r="AO584" s="13"/>
      <c r="AP584" s="13"/>
    </row>
    <row r="585" spans="1:42" ht="19.5" thickBot="1">
      <c r="A585" s="934"/>
      <c r="B585" s="1257"/>
      <c r="C585" s="1258"/>
      <c r="D585" s="1259"/>
      <c r="E585" s="1260"/>
      <c r="F585" s="1259"/>
      <c r="G585" s="1261"/>
      <c r="H585" s="1058"/>
      <c r="I585" s="587"/>
      <c r="J585" s="588"/>
      <c r="K585" s="936"/>
      <c r="L585" s="937"/>
      <c r="M585" s="938"/>
      <c r="N585" s="939"/>
      <c r="Q585" s="1091"/>
      <c r="R585" s="1092"/>
      <c r="S585" s="364"/>
      <c r="T585" s="888"/>
      <c r="U585" s="889"/>
      <c r="V585" s="889"/>
      <c r="W585" s="889"/>
      <c r="X585" s="889"/>
      <c r="Y585" s="889"/>
      <c r="Z585" s="889"/>
      <c r="AA585" s="890"/>
      <c r="AB585" s="890"/>
      <c r="AC585" s="890"/>
      <c r="AD585" s="890"/>
      <c r="AE585" s="889"/>
      <c r="AF585" s="889"/>
      <c r="AG585" s="1883"/>
      <c r="AH585" s="890"/>
      <c r="AI585" s="512">
        <f>S577*AI577+S578*AI578</f>
        <v>-3.9965563351679584E-2</v>
      </c>
      <c r="AJ585" s="513">
        <f>SUM(AJ577:AJ578)</f>
        <v>3930</v>
      </c>
      <c r="AK585" s="514">
        <f>SUM(AK577:AK578)</f>
        <v>-1719.3780863087177</v>
      </c>
      <c r="AM585" s="307">
        <f>SUM(AM577:AM578)</f>
        <v>0.22138350608382154</v>
      </c>
      <c r="AN585" s="307">
        <f>SUM(AN577:AN578)</f>
        <v>-5.5874211619266436</v>
      </c>
      <c r="AO585" s="13"/>
      <c r="AP585" s="13"/>
    </row>
    <row r="586" spans="1:42" ht="49.5" customHeight="1" thickBot="1">
      <c r="N586" s="1139" t="s">
        <v>1133</v>
      </c>
      <c r="O586" s="1140">
        <f>AVERAGE(S527,S541,S554:S556,S577:S578)</f>
        <v>6.709348813323493E-2</v>
      </c>
      <c r="P586" s="1262">
        <f>AVERAGE(P527,P541,P554:P556,P577)</f>
        <v>0.50164534381827008</v>
      </c>
      <c r="T586" s="525">
        <f>AVERAGE(T527,T541,T554:T556,T577:T578)</f>
        <v>0.12812475526470557</v>
      </c>
      <c r="U586" s="2350" t="s">
        <v>1294</v>
      </c>
      <c r="V586" s="2331"/>
      <c r="W586" s="2331"/>
      <c r="X586" s="2331"/>
      <c r="Y586" s="2331"/>
      <c r="Z586" s="2351"/>
      <c r="AA586" s="1144">
        <f>AVERAGE(AA527,AA533:AA534,AA541,AA554:AA556,AA561:AA564,AA577:AA578,AA583:AA584)</f>
        <v>0.22269155601105689</v>
      </c>
      <c r="AB586" s="1144">
        <f>AVERAGE(AB527,AB533:AB534,AB541,AB554:AB556,AB561:AB564,AB577:AB578,AB583:AB584)</f>
        <v>0.15975643329822423</v>
      </c>
      <c r="AC586" s="1144">
        <f>AVERAGE(AC527,AC533:AC534,AC541,AC554:AC556,AC561:AC564,AC577:AC578,AC583:AC584)</f>
        <v>0.40261353898734409</v>
      </c>
      <c r="AD586" s="1144"/>
      <c r="AE586" s="1145"/>
      <c r="AF586" s="1145"/>
      <c r="AG586" s="1891"/>
      <c r="AH586" s="1146">
        <f>AVERAGE(AH527,AH533:AH534,AH541,AH554:AH556,AH561:AH564,AH577:AH578,AH583:AH584)</f>
        <v>0.224</v>
      </c>
      <c r="AI586" s="2335" t="s">
        <v>1295</v>
      </c>
      <c r="AJ586" s="2336"/>
      <c r="AK586" s="2336"/>
      <c r="AL586" s="2336"/>
      <c r="AM586" s="2336"/>
      <c r="AN586" s="2337"/>
      <c r="AO586" s="13"/>
      <c r="AP586" s="13"/>
    </row>
    <row r="587" spans="1:42" ht="18.75">
      <c r="A587" s="834" t="s">
        <v>1296</v>
      </c>
      <c r="B587" s="893"/>
      <c r="J587" s="532"/>
      <c r="K587" s="533"/>
      <c r="AI587" s="838">
        <f>AVERAGE(S527,S541,AI557,AI585)</f>
        <v>3.4855206088389816E-2</v>
      </c>
      <c r="AJ587" s="839">
        <f>SUM(AJ527,AJ541,AJ557+AJ585)</f>
        <v>17752</v>
      </c>
      <c r="AK587" s="840">
        <f>SUM(AK527,AK541,AK557,AK585)</f>
        <v>307.72301505115911</v>
      </c>
      <c r="AL587" s="841"/>
      <c r="AM587" s="842">
        <f>SUM(AM527,AM541,AM557,AM585)</f>
        <v>1</v>
      </c>
      <c r="AN587" s="842">
        <f>SUM(AN527,AN541,AN557,AN585)</f>
        <v>1.0000000000000009</v>
      </c>
      <c r="AO587" s="13"/>
      <c r="AP587" s="13"/>
    </row>
    <row r="588" spans="1:42">
      <c r="A588" s="749" t="s">
        <v>1</v>
      </c>
      <c r="E588" s="157"/>
      <c r="F588" s="158" t="s">
        <v>1077</v>
      </c>
      <c r="G588" s="158"/>
      <c r="H588" s="159"/>
      <c r="I588" s="160"/>
      <c r="J588" s="541"/>
      <c r="K588" s="533"/>
      <c r="AO588" s="13"/>
      <c r="AP588" s="13"/>
    </row>
    <row r="589" spans="1:42" ht="84" customHeight="1">
      <c r="A589" s="2323" t="s">
        <v>1297</v>
      </c>
      <c r="B589" s="2323"/>
      <c r="C589" s="2323"/>
      <c r="D589" s="2323"/>
      <c r="E589" s="2323"/>
      <c r="F589" s="2323"/>
      <c r="G589" s="2323"/>
      <c r="H589" s="623"/>
      <c r="I589" s="624"/>
      <c r="J589" s="1081"/>
      <c r="K589" s="533"/>
      <c r="AO589" s="13"/>
      <c r="AP589" s="13"/>
    </row>
    <row r="590" spans="1:42">
      <c r="A590" s="749" t="s">
        <v>2</v>
      </c>
      <c r="B590" s="1846"/>
      <c r="E590" s="157"/>
      <c r="J590" s="532"/>
      <c r="K590" s="533"/>
      <c r="W590" s="1026" t="s">
        <v>1251</v>
      </c>
      <c r="X590" s="1026">
        <f>$C$17</f>
        <v>0.45</v>
      </c>
      <c r="AO590" s="13"/>
      <c r="AP590" s="13"/>
    </row>
    <row r="591" spans="1:42" ht="32.25" customHeight="1">
      <c r="A591" s="2323" t="s">
        <v>610</v>
      </c>
      <c r="B591" s="2323"/>
      <c r="C591" s="2323"/>
      <c r="D591" s="2323"/>
      <c r="E591" s="2323"/>
      <c r="F591" s="2323"/>
      <c r="G591" s="2323"/>
      <c r="H591" s="623"/>
      <c r="I591" s="624"/>
      <c r="J591" s="1081"/>
      <c r="K591" s="533"/>
      <c r="W591" s="1026" t="s">
        <v>1252</v>
      </c>
      <c r="X591" s="1026">
        <v>0.47</v>
      </c>
      <c r="AO591" s="13"/>
      <c r="AP591" s="13"/>
    </row>
    <row r="592" spans="1:42" ht="31.9" customHeight="1">
      <c r="A592" s="2323" t="s">
        <v>1298</v>
      </c>
      <c r="B592" s="2323"/>
      <c r="C592" s="2323"/>
      <c r="D592" s="2323"/>
      <c r="E592" s="2323"/>
      <c r="F592" s="2323"/>
      <c r="G592" s="2323"/>
      <c r="H592" s="623"/>
      <c r="I592" s="624"/>
      <c r="J592" s="1081"/>
      <c r="K592" s="533"/>
      <c r="AO592" s="13"/>
      <c r="AP592" s="13"/>
    </row>
    <row r="593" spans="1:42" ht="27" customHeight="1" thickBot="1">
      <c r="A593" s="149" t="s">
        <v>611</v>
      </c>
      <c r="B593" s="157" t="s">
        <v>1299</v>
      </c>
      <c r="C593" s="157"/>
      <c r="D593" s="157"/>
      <c r="E593" s="157"/>
      <c r="F593" s="157"/>
      <c r="G593" s="157"/>
      <c r="J593" s="532"/>
      <c r="K593" s="533"/>
      <c r="T593" s="1851"/>
      <c r="U593" s="627"/>
      <c r="V593" s="627"/>
      <c r="W593" s="627"/>
      <c r="X593" s="627"/>
      <c r="Y593" s="627"/>
      <c r="Z593" s="627"/>
      <c r="AA593" s="614">
        <v>0.23</v>
      </c>
      <c r="AB593" s="628"/>
      <c r="AC593" s="628"/>
      <c r="AD593" s="1851"/>
      <c r="AE593" s="188"/>
      <c r="AF593" s="188"/>
      <c r="AG593" s="1866"/>
      <c r="AH593" s="1851"/>
      <c r="AO593" s="13"/>
      <c r="AP593" s="13"/>
    </row>
    <row r="594" spans="1:42" ht="60.75" thickBot="1">
      <c r="A594" s="149"/>
      <c r="B594" s="1263" t="s">
        <v>10</v>
      </c>
      <c r="C594" s="990" t="s">
        <v>11</v>
      </c>
      <c r="D594" s="370" t="s">
        <v>12</v>
      </c>
      <c r="E594" s="370" t="s">
        <v>13</v>
      </c>
      <c r="F594" s="370" t="s">
        <v>14</v>
      </c>
      <c r="G594" s="371" t="s">
        <v>15</v>
      </c>
      <c r="H594" s="372" t="s">
        <v>1090</v>
      </c>
      <c r="I594" s="633">
        <f>$C$17</f>
        <v>0.45</v>
      </c>
      <c r="J594" s="684">
        <f>$C$17</f>
        <v>0.45</v>
      </c>
      <c r="K594" s="875" t="s">
        <v>1093</v>
      </c>
      <c r="L594" s="876" t="s">
        <v>1094</v>
      </c>
      <c r="S594" s="1264" t="s">
        <v>1095</v>
      </c>
      <c r="T594" s="203" t="s">
        <v>1095</v>
      </c>
      <c r="U594" s="204" t="s">
        <v>1096</v>
      </c>
      <c r="V594" s="205" t="s">
        <v>1093</v>
      </c>
      <c r="W594" s="206" t="s">
        <v>1094</v>
      </c>
      <c r="X594" s="207" t="s">
        <v>1097</v>
      </c>
      <c r="Y594" s="208">
        <f>$X$591</f>
        <v>0.47</v>
      </c>
      <c r="Z594" s="207" t="s">
        <v>1098</v>
      </c>
      <c r="AA594" s="209" t="s">
        <v>1099</v>
      </c>
      <c r="AB594" s="209" t="s">
        <v>1100</v>
      </c>
      <c r="AC594" s="210" t="s">
        <v>1300</v>
      </c>
      <c r="AD594" s="211" t="s">
        <v>1101</v>
      </c>
      <c r="AE594" s="209" t="s">
        <v>1102</v>
      </c>
      <c r="AF594" s="208" t="s">
        <v>1103</v>
      </c>
      <c r="AG594" s="1867" t="s">
        <v>1104</v>
      </c>
      <c r="AH594" s="213" t="s">
        <v>1116</v>
      </c>
      <c r="AI594" s="220" t="s">
        <v>1106</v>
      </c>
      <c r="AJ594" s="483" t="s">
        <v>1107</v>
      </c>
      <c r="AK594" s="484" t="s">
        <v>1108</v>
      </c>
      <c r="AL594" s="221" t="s">
        <v>1109</v>
      </c>
      <c r="AM594" s="221" t="s">
        <v>1175</v>
      </c>
      <c r="AN594" s="221" t="s">
        <v>1176</v>
      </c>
      <c r="AO594" s="13"/>
      <c r="AP594" s="13"/>
    </row>
    <row r="595" spans="1:42">
      <c r="A595" s="187"/>
      <c r="B595" s="1265" t="s">
        <v>614</v>
      </c>
      <c r="C595" s="1266" t="s">
        <v>632</v>
      </c>
      <c r="D595" s="1267">
        <v>430</v>
      </c>
      <c r="E595" s="688">
        <v>1</v>
      </c>
      <c r="F595" s="1268">
        <v>64</v>
      </c>
      <c r="G595" s="1269">
        <v>355</v>
      </c>
      <c r="H595" s="1270">
        <f>G595*(1+$H$33)</f>
        <v>379.85</v>
      </c>
      <c r="I595" s="1271">
        <f>H595-H595*$J$594</f>
        <v>208.91750000000002</v>
      </c>
      <c r="J595" s="1272">
        <f>G595-G595*$J$594</f>
        <v>195.25</v>
      </c>
      <c r="K595" s="1273">
        <v>3.99</v>
      </c>
      <c r="L595" s="382">
        <f t="shared" ref="L595:L612" si="200">K595*$R$33</f>
        <v>187.66167000000002</v>
      </c>
      <c r="S595" s="1274">
        <f t="shared" ref="S595:S612" si="201">((J595-L595)/J595)*100%</f>
        <v>3.88646862996158E-2</v>
      </c>
      <c r="T595" s="237">
        <f t="shared" ref="T595:T612" si="202">((I595-L595)/I595)*100%</f>
        <v>0.10174269747627653</v>
      </c>
      <c r="U595" s="238">
        <v>3.3194700000000004</v>
      </c>
      <c r="V595" s="239">
        <f>U595*$X$31</f>
        <v>3.9833640000000003</v>
      </c>
      <c r="W595" s="239">
        <f>V595*$R$33</f>
        <v>187.34955901200001</v>
      </c>
      <c r="X595" s="240">
        <f>(ROUND(W595/(1-$AA$593),0))</f>
        <v>243</v>
      </c>
      <c r="Y595" s="239">
        <f>Z595*(1-$X$591)</f>
        <v>234.26000000000002</v>
      </c>
      <c r="Z595" s="240">
        <f>ROUND(X595/(1-$X$590),0)</f>
        <v>442</v>
      </c>
      <c r="AA595" s="241">
        <f>((X595-W595)/X595)*100%</f>
        <v>0.22901416044444439</v>
      </c>
      <c r="AB595" s="241">
        <f>((Y595-W595)/Y595)*100%</f>
        <v>0.20024947062238538</v>
      </c>
      <c r="AC595" s="265">
        <f>((Y595/I595)-1)*100%</f>
        <v>0.12130386396544091</v>
      </c>
      <c r="AD595" s="1004"/>
      <c r="AE595" s="238">
        <f>N595/$R$33</f>
        <v>0</v>
      </c>
      <c r="AF595" s="239">
        <f>(V595/(1-$AA$593))</f>
        <v>5.1732000000000005</v>
      </c>
      <c r="AG595" s="1868">
        <v>9.41</v>
      </c>
      <c r="AH595" s="244">
        <f>((AF595-V595)/AF595)*100%</f>
        <v>0.23</v>
      </c>
      <c r="AI595" s="77">
        <f>AJ595/$AJ$613</f>
        <v>3.1707317073170732E-2</v>
      </c>
      <c r="AJ595" s="498">
        <v>26</v>
      </c>
      <c r="AK595" s="270">
        <f t="shared" ref="AK595:AK612" si="203">K595*S595*AJ595</f>
        <v>4.031822556722144</v>
      </c>
      <c r="AL595" s="77">
        <f>AK595/$AK$613</f>
        <v>1.3713912734484079E-2</v>
      </c>
      <c r="AM595" s="77">
        <f t="shared" ref="AM595:AM612" si="204">AJ595/$AJ$745</f>
        <v>4.4201900681729313E-4</v>
      </c>
      <c r="AN595" s="77">
        <f t="shared" ref="AN595:AN612" si="205">AK595/$AK$745</f>
        <v>1.5797209980153329E-4</v>
      </c>
      <c r="AO595" s="13"/>
      <c r="AP595" s="13"/>
    </row>
    <row r="596" spans="1:42">
      <c r="A596" s="187"/>
      <c r="B596" s="1275" t="s">
        <v>615</v>
      </c>
      <c r="C596" s="1266" t="s">
        <v>633</v>
      </c>
      <c r="D596" s="1267">
        <v>570</v>
      </c>
      <c r="E596" s="688">
        <v>1</v>
      </c>
      <c r="F596" s="1268">
        <v>44</v>
      </c>
      <c r="G596" s="1276">
        <v>471</v>
      </c>
      <c r="H596" s="1270">
        <f t="shared" ref="H596:H612" si="206">G596*(1+$H$33)</f>
        <v>503.97</v>
      </c>
      <c r="I596" s="1271">
        <f>H596-H596*$J$594</f>
        <v>277.18349999999998</v>
      </c>
      <c r="J596" s="1272">
        <f t="shared" ref="J596:J612" si="207">G596-G596*$J$594</f>
        <v>259.04999999999995</v>
      </c>
      <c r="K596" s="331">
        <v>5.29</v>
      </c>
      <c r="L596" s="382">
        <f t="shared" si="200"/>
        <v>248.80457000000001</v>
      </c>
      <c r="S596" s="1274">
        <f t="shared" si="201"/>
        <v>3.9550009650646374E-2</v>
      </c>
      <c r="T596" s="260">
        <f t="shared" si="202"/>
        <v>0.10238318658938923</v>
      </c>
      <c r="U596" s="261">
        <v>4.4015399999999998</v>
      </c>
      <c r="V596" s="239">
        <f t="shared" ref="V596:V612" si="208">U596*$X$31</f>
        <v>5.2818479999999992</v>
      </c>
      <c r="W596" s="239">
        <f t="shared" ref="W596:W612" si="209">V596*$R$33</f>
        <v>248.42115698399996</v>
      </c>
      <c r="X596" s="240">
        <f t="shared" ref="X596:X612" si="210">(ROUND(W596/(1-$AA$593),0))</f>
        <v>323</v>
      </c>
      <c r="Y596" s="239">
        <f t="shared" ref="Y596:Y612" si="211">Z596*(1-$X$591)</f>
        <v>311.11</v>
      </c>
      <c r="Z596" s="240">
        <f t="shared" ref="Z596:Z612" si="212">ROUND(X596/(1-$X$590),0)</f>
        <v>587</v>
      </c>
      <c r="AA596" s="241">
        <f t="shared" ref="AA596:AA612" si="213">((X596-W596)/X596)*100%</f>
        <v>0.23089425082352952</v>
      </c>
      <c r="AB596" s="241">
        <f t="shared" ref="AB596:AB612" si="214">((Y596-W596)/Y596)*100%</f>
        <v>0.20150057219632941</v>
      </c>
      <c r="AC596" s="265">
        <f t="shared" ref="AC596:AC612" si="215">((Y596/I596)-1)*100%</f>
        <v>0.1223972566909648</v>
      </c>
      <c r="AD596" s="1004"/>
      <c r="AE596" s="238">
        <f t="shared" ref="AE596:AE612" si="216">N596/$R$33</f>
        <v>0</v>
      </c>
      <c r="AF596" s="239">
        <f t="shared" ref="AF596:AF612" si="217">(V596/(1-$AA$593))</f>
        <v>6.8595428571428556</v>
      </c>
      <c r="AG596" s="1868">
        <v>12.47</v>
      </c>
      <c r="AH596" s="244">
        <f t="shared" ref="AH596:AH612" si="218">((AF596-V596)/AF596)*100%</f>
        <v>0.22999999999999995</v>
      </c>
      <c r="AI596" s="77">
        <f t="shared" ref="AI596:AI612" si="219">AJ596/$AJ$613</f>
        <v>6.097560975609756E-2</v>
      </c>
      <c r="AJ596" s="498">
        <v>50</v>
      </c>
      <c r="AK596" s="270">
        <f t="shared" si="203"/>
        <v>10.460977552595967</v>
      </c>
      <c r="AL596" s="77">
        <f t="shared" ref="AL596:AL612" si="220">AK596/$AK$613</f>
        <v>3.5582154535672601E-2</v>
      </c>
      <c r="AM596" s="77">
        <f t="shared" si="204"/>
        <v>8.5003655157171753E-4</v>
      </c>
      <c r="AN596" s="77">
        <f t="shared" si="205"/>
        <v>4.0987483122367373E-4</v>
      </c>
      <c r="AO596" s="13"/>
      <c r="AP596" s="13"/>
    </row>
    <row r="597" spans="1:42">
      <c r="A597" s="187"/>
      <c r="B597" s="1275" t="s">
        <v>616</v>
      </c>
      <c r="C597" s="1266" t="s">
        <v>634</v>
      </c>
      <c r="D597" s="1267">
        <v>710</v>
      </c>
      <c r="E597" s="688">
        <v>1</v>
      </c>
      <c r="F597" s="1268">
        <v>36</v>
      </c>
      <c r="G597" s="1276">
        <v>587</v>
      </c>
      <c r="H597" s="1270">
        <f t="shared" si="206"/>
        <v>628.09</v>
      </c>
      <c r="I597" s="1271">
        <f t="shared" ref="I597:I612" si="221">H597-H597*$J$594</f>
        <v>345.4495</v>
      </c>
      <c r="J597" s="1272">
        <f t="shared" si="207"/>
        <v>322.84999999999997</v>
      </c>
      <c r="K597" s="1273">
        <v>6.59</v>
      </c>
      <c r="L597" s="382">
        <f t="shared" si="200"/>
        <v>309.94747000000001</v>
      </c>
      <c r="S597" s="1274">
        <f t="shared" si="201"/>
        <v>3.9964472665324324E-2</v>
      </c>
      <c r="T597" s="260">
        <f t="shared" si="202"/>
        <v>0.10277053520123779</v>
      </c>
      <c r="U597" s="261">
        <v>5.4826199999999998</v>
      </c>
      <c r="V597" s="239">
        <f t="shared" si="208"/>
        <v>6.5791439999999994</v>
      </c>
      <c r="W597" s="239">
        <f t="shared" si="209"/>
        <v>309.43687975199998</v>
      </c>
      <c r="X597" s="240">
        <f t="shared" si="210"/>
        <v>402</v>
      </c>
      <c r="Y597" s="239">
        <f t="shared" si="211"/>
        <v>387.43</v>
      </c>
      <c r="Z597" s="240">
        <f t="shared" si="212"/>
        <v>731</v>
      </c>
      <c r="AA597" s="241">
        <f t="shared" si="213"/>
        <v>0.23025651802985078</v>
      </c>
      <c r="AB597" s="241">
        <f t="shared" si="214"/>
        <v>0.2013089338667631</v>
      </c>
      <c r="AC597" s="265">
        <f t="shared" si="215"/>
        <v>0.12152427489401485</v>
      </c>
      <c r="AD597" s="1004"/>
      <c r="AE597" s="238">
        <f t="shared" si="216"/>
        <v>0</v>
      </c>
      <c r="AF597" s="239">
        <f t="shared" si="217"/>
        <v>8.5443428571428566</v>
      </c>
      <c r="AG597" s="1868">
        <v>15.54</v>
      </c>
      <c r="AH597" s="244">
        <f t="shared" si="218"/>
        <v>0.23</v>
      </c>
      <c r="AI597" s="77">
        <f t="shared" si="219"/>
        <v>2.3170731707317073E-2</v>
      </c>
      <c r="AJ597" s="498">
        <v>19</v>
      </c>
      <c r="AK597" s="270">
        <f t="shared" si="203"/>
        <v>5.0039516224252587</v>
      </c>
      <c r="AL597" s="77">
        <f t="shared" si="220"/>
        <v>1.7020529775821996E-2</v>
      </c>
      <c r="AM597" s="77">
        <f t="shared" si="204"/>
        <v>3.2301388959725267E-4</v>
      </c>
      <c r="AN597" s="77">
        <f t="shared" si="205"/>
        <v>1.9606139257836495E-4</v>
      </c>
      <c r="AO597" s="13"/>
      <c r="AP597" s="13"/>
    </row>
    <row r="598" spans="1:42">
      <c r="A598" s="187"/>
      <c r="B598" s="1275" t="s">
        <v>617</v>
      </c>
      <c r="C598" s="1266" t="s">
        <v>635</v>
      </c>
      <c r="D598" s="1267">
        <v>850</v>
      </c>
      <c r="E598" s="688">
        <v>1</v>
      </c>
      <c r="F598" s="1268">
        <v>32</v>
      </c>
      <c r="G598" s="1276">
        <v>703</v>
      </c>
      <c r="H598" s="1270">
        <f t="shared" si="206"/>
        <v>752.21</v>
      </c>
      <c r="I598" s="1271">
        <f t="shared" si="221"/>
        <v>413.71550000000002</v>
      </c>
      <c r="J598" s="1272">
        <f t="shared" si="207"/>
        <v>386.65</v>
      </c>
      <c r="K598" s="331">
        <v>7.89</v>
      </c>
      <c r="L598" s="382">
        <f t="shared" si="200"/>
        <v>371.09037000000001</v>
      </c>
      <c r="S598" s="1274">
        <f t="shared" si="201"/>
        <v>4.0242156989525338E-2</v>
      </c>
      <c r="T598" s="260">
        <f t="shared" si="202"/>
        <v>0.10303005326123872</v>
      </c>
      <c r="U598" s="261">
        <v>6.5627099999999992</v>
      </c>
      <c r="V598" s="239">
        <f t="shared" si="208"/>
        <v>7.8752519999999988</v>
      </c>
      <c r="W598" s="239">
        <f t="shared" si="209"/>
        <v>370.39672731599995</v>
      </c>
      <c r="X598" s="240">
        <f t="shared" si="210"/>
        <v>481</v>
      </c>
      <c r="Y598" s="239">
        <f t="shared" si="211"/>
        <v>463.75</v>
      </c>
      <c r="Z598" s="240">
        <f t="shared" si="212"/>
        <v>875</v>
      </c>
      <c r="AA598" s="241">
        <f t="shared" si="213"/>
        <v>0.22994443385446994</v>
      </c>
      <c r="AB598" s="241">
        <f t="shared" si="214"/>
        <v>0.20130085753962274</v>
      </c>
      <c r="AC598" s="265">
        <f t="shared" si="215"/>
        <v>0.12093938950800731</v>
      </c>
      <c r="AD598" s="1004"/>
      <c r="AE598" s="238">
        <f t="shared" si="216"/>
        <v>0</v>
      </c>
      <c r="AF598" s="239">
        <f t="shared" si="217"/>
        <v>10.227599999999999</v>
      </c>
      <c r="AG598" s="1868">
        <v>18.600000000000001</v>
      </c>
      <c r="AH598" s="244">
        <f t="shared" si="218"/>
        <v>0.23000000000000004</v>
      </c>
      <c r="AI598" s="77">
        <f t="shared" si="219"/>
        <v>6.0975609756097563E-3</v>
      </c>
      <c r="AJ598" s="498">
        <v>5</v>
      </c>
      <c r="AK598" s="270">
        <f t="shared" si="203"/>
        <v>1.5875530932367745</v>
      </c>
      <c r="AL598" s="77">
        <f t="shared" si="220"/>
        <v>5.3999312409496493E-3</v>
      </c>
      <c r="AM598" s="77">
        <f t="shared" si="204"/>
        <v>8.5003655157171758E-5</v>
      </c>
      <c r="AN598" s="77">
        <f t="shared" si="205"/>
        <v>6.2202413959636953E-5</v>
      </c>
      <c r="AO598" s="13"/>
      <c r="AP598" s="13"/>
    </row>
    <row r="599" spans="1:42">
      <c r="A599" s="187"/>
      <c r="B599" s="1275" t="s">
        <v>618</v>
      </c>
      <c r="C599" s="1266" t="s">
        <v>636</v>
      </c>
      <c r="D599" s="1267">
        <v>990</v>
      </c>
      <c r="E599" s="688">
        <v>1</v>
      </c>
      <c r="F599" s="1268">
        <v>28</v>
      </c>
      <c r="G599" s="1276">
        <v>818</v>
      </c>
      <c r="H599" s="1270">
        <f t="shared" si="206"/>
        <v>875.2600000000001</v>
      </c>
      <c r="I599" s="1271">
        <f t="shared" si="221"/>
        <v>481.39300000000003</v>
      </c>
      <c r="J599" s="1272">
        <f t="shared" si="207"/>
        <v>449.9</v>
      </c>
      <c r="K599" s="331">
        <v>9.19</v>
      </c>
      <c r="L599" s="382">
        <f t="shared" si="200"/>
        <v>432.23327</v>
      </c>
      <c r="S599" s="1274">
        <f t="shared" si="201"/>
        <v>3.9268126250277778E-2</v>
      </c>
      <c r="T599" s="696">
        <f t="shared" si="202"/>
        <v>0.10211974415913821</v>
      </c>
      <c r="U599" s="238">
        <v>7.6437900000000001</v>
      </c>
      <c r="V599" s="239">
        <f t="shared" si="208"/>
        <v>9.172547999999999</v>
      </c>
      <c r="W599" s="239">
        <f t="shared" si="209"/>
        <v>431.41245008399994</v>
      </c>
      <c r="X599" s="240">
        <f t="shared" si="210"/>
        <v>560</v>
      </c>
      <c r="Y599" s="239">
        <f t="shared" si="211"/>
        <v>539.54000000000008</v>
      </c>
      <c r="Z599" s="240">
        <f t="shared" si="212"/>
        <v>1018</v>
      </c>
      <c r="AA599" s="241">
        <f t="shared" si="213"/>
        <v>0.22962062485000009</v>
      </c>
      <c r="AB599" s="241">
        <f t="shared" si="214"/>
        <v>0.20040692055454667</v>
      </c>
      <c r="AC599" s="265">
        <f t="shared" si="215"/>
        <v>0.12078904346344888</v>
      </c>
      <c r="AD599" s="1004"/>
      <c r="AE599" s="238">
        <f t="shared" si="216"/>
        <v>0</v>
      </c>
      <c r="AF599" s="239">
        <f t="shared" si="217"/>
        <v>11.912399999999998</v>
      </c>
      <c r="AG599" s="1868">
        <v>21.66</v>
      </c>
      <c r="AH599" s="244">
        <f t="shared" si="218"/>
        <v>0.22999999999999995</v>
      </c>
      <c r="AI599" s="77">
        <f t="shared" si="219"/>
        <v>2.4390243902439024E-3</v>
      </c>
      <c r="AJ599" s="498">
        <v>2</v>
      </c>
      <c r="AK599" s="270">
        <f t="shared" si="203"/>
        <v>0.72174816048010548</v>
      </c>
      <c r="AL599" s="77">
        <f t="shared" si="220"/>
        <v>2.4549669906965364E-3</v>
      </c>
      <c r="AM599" s="77">
        <f t="shared" si="204"/>
        <v>3.4001462062868702E-5</v>
      </c>
      <c r="AN599" s="77">
        <f t="shared" si="205"/>
        <v>2.8279040268982201E-5</v>
      </c>
      <c r="AO599" s="13"/>
      <c r="AP599" s="13"/>
    </row>
    <row r="600" spans="1:42">
      <c r="A600" s="187"/>
      <c r="B600" s="1275" t="s">
        <v>619</v>
      </c>
      <c r="C600" s="1266" t="s">
        <v>637</v>
      </c>
      <c r="D600" s="1267">
        <v>1130</v>
      </c>
      <c r="E600" s="688">
        <v>1</v>
      </c>
      <c r="F600" s="1268">
        <v>20</v>
      </c>
      <c r="G600" s="1276">
        <v>934</v>
      </c>
      <c r="H600" s="1270">
        <f t="shared" si="206"/>
        <v>999.38000000000011</v>
      </c>
      <c r="I600" s="1271">
        <f t="shared" si="221"/>
        <v>549.65900000000011</v>
      </c>
      <c r="J600" s="1272">
        <f t="shared" si="207"/>
        <v>513.70000000000005</v>
      </c>
      <c r="K600" s="331">
        <v>10.49</v>
      </c>
      <c r="L600" s="382">
        <f t="shared" si="200"/>
        <v>493.37617</v>
      </c>
      <c r="S600" s="1274">
        <f t="shared" si="201"/>
        <v>3.9563616897021689E-2</v>
      </c>
      <c r="T600" s="696">
        <f t="shared" si="202"/>
        <v>0.10239590364207644</v>
      </c>
      <c r="U600" s="261">
        <v>8.724870000000001</v>
      </c>
      <c r="V600" s="239">
        <f t="shared" si="208"/>
        <v>10.469844</v>
      </c>
      <c r="W600" s="239">
        <f t="shared" si="209"/>
        <v>492.42817285200005</v>
      </c>
      <c r="X600" s="240">
        <f t="shared" si="210"/>
        <v>640</v>
      </c>
      <c r="Y600" s="239">
        <f t="shared" si="211"/>
        <v>616.92000000000007</v>
      </c>
      <c r="Z600" s="240">
        <f t="shared" si="212"/>
        <v>1164</v>
      </c>
      <c r="AA600" s="241">
        <f t="shared" si="213"/>
        <v>0.23058097991874993</v>
      </c>
      <c r="AB600" s="241">
        <f t="shared" si="214"/>
        <v>0.20179573874732545</v>
      </c>
      <c r="AC600" s="265">
        <f t="shared" si="215"/>
        <v>0.12236859580212456</v>
      </c>
      <c r="AD600" s="1004"/>
      <c r="AE600" s="238">
        <f t="shared" si="216"/>
        <v>0</v>
      </c>
      <c r="AF600" s="239">
        <f t="shared" si="217"/>
        <v>13.597199999999999</v>
      </c>
      <c r="AG600" s="1868">
        <v>24.72</v>
      </c>
      <c r="AH600" s="244">
        <f t="shared" si="218"/>
        <v>0.22999999999999993</v>
      </c>
      <c r="AI600" s="77">
        <f t="shared" si="219"/>
        <v>0</v>
      </c>
      <c r="AJ600" s="498">
        <v>0</v>
      </c>
      <c r="AK600" s="270">
        <f t="shared" si="203"/>
        <v>0</v>
      </c>
      <c r="AL600" s="77">
        <f t="shared" si="220"/>
        <v>0</v>
      </c>
      <c r="AM600" s="77">
        <f t="shared" si="204"/>
        <v>0</v>
      </c>
      <c r="AN600" s="77">
        <f t="shared" si="205"/>
        <v>0</v>
      </c>
      <c r="AO600" s="13"/>
      <c r="AP600" s="13"/>
    </row>
    <row r="601" spans="1:42">
      <c r="A601" s="187"/>
      <c r="B601" s="1275" t="s">
        <v>620</v>
      </c>
      <c r="C601" s="1266" t="s">
        <v>638</v>
      </c>
      <c r="D601" s="1267">
        <v>540</v>
      </c>
      <c r="E601" s="688">
        <v>1</v>
      </c>
      <c r="F601" s="1268">
        <v>36</v>
      </c>
      <c r="G601" s="1276">
        <v>446</v>
      </c>
      <c r="H601" s="1270">
        <f t="shared" si="206"/>
        <v>477.22</v>
      </c>
      <c r="I601" s="1271">
        <f t="shared" si="221"/>
        <v>262.471</v>
      </c>
      <c r="J601" s="1272">
        <f t="shared" si="207"/>
        <v>245.29999999999998</v>
      </c>
      <c r="K601" s="1273">
        <v>5.01</v>
      </c>
      <c r="L601" s="382">
        <f t="shared" si="200"/>
        <v>235.63533000000001</v>
      </c>
      <c r="S601" s="1274">
        <f t="shared" si="201"/>
        <v>3.9399388503872701E-2</v>
      </c>
      <c r="T601" s="696">
        <f t="shared" si="202"/>
        <v>0.10224241916249792</v>
      </c>
      <c r="U601" s="261">
        <v>4.16988</v>
      </c>
      <c r="V601" s="239">
        <f t="shared" si="208"/>
        <v>5.0038559999999999</v>
      </c>
      <c r="W601" s="239">
        <f t="shared" si="209"/>
        <v>235.346359248</v>
      </c>
      <c r="X601" s="240">
        <f t="shared" si="210"/>
        <v>306</v>
      </c>
      <c r="Y601" s="239">
        <f t="shared" si="211"/>
        <v>294.68</v>
      </c>
      <c r="Z601" s="240">
        <f t="shared" si="212"/>
        <v>556</v>
      </c>
      <c r="AA601" s="241">
        <f t="shared" si="213"/>
        <v>0.23089425082352941</v>
      </c>
      <c r="AB601" s="241">
        <f t="shared" si="214"/>
        <v>0.2013493985068549</v>
      </c>
      <c r="AC601" s="265">
        <f t="shared" si="215"/>
        <v>0.12271450941246842</v>
      </c>
      <c r="AD601" s="1004"/>
      <c r="AE601" s="238">
        <f t="shared" si="216"/>
        <v>0</v>
      </c>
      <c r="AF601" s="239">
        <f t="shared" si="217"/>
        <v>6.4985142857142852</v>
      </c>
      <c r="AG601" s="1868">
        <v>11.82</v>
      </c>
      <c r="AH601" s="244">
        <f t="shared" si="218"/>
        <v>0.22999999999999995</v>
      </c>
      <c r="AI601" s="77">
        <f t="shared" si="219"/>
        <v>0.21463414634146341</v>
      </c>
      <c r="AJ601" s="498">
        <v>176</v>
      </c>
      <c r="AK601" s="270">
        <f t="shared" si="203"/>
        <v>34.74080480717479</v>
      </c>
      <c r="AL601" s="77">
        <f t="shared" si="220"/>
        <v>0.11816798947587558</v>
      </c>
      <c r="AM601" s="77">
        <f t="shared" si="204"/>
        <v>2.9921286615324457E-3</v>
      </c>
      <c r="AN601" s="77">
        <f t="shared" si="205"/>
        <v>1.3611903319094452E-3</v>
      </c>
      <c r="AO601" s="13"/>
      <c r="AP601" s="13"/>
    </row>
    <row r="602" spans="1:42">
      <c r="A602" s="187"/>
      <c r="B602" s="1275" t="s">
        <v>621</v>
      </c>
      <c r="C602" s="1266" t="s">
        <v>639</v>
      </c>
      <c r="D602" s="1267">
        <v>740</v>
      </c>
      <c r="E602" s="688">
        <v>1</v>
      </c>
      <c r="F602" s="1268">
        <v>27</v>
      </c>
      <c r="G602" s="1276">
        <v>612</v>
      </c>
      <c r="H602" s="1270">
        <f t="shared" si="206"/>
        <v>654.84</v>
      </c>
      <c r="I602" s="1271">
        <f t="shared" si="221"/>
        <v>360.16200000000003</v>
      </c>
      <c r="J602" s="1272">
        <f t="shared" si="207"/>
        <v>336.59999999999997</v>
      </c>
      <c r="K602" s="331">
        <v>6.87</v>
      </c>
      <c r="L602" s="382">
        <f t="shared" si="200"/>
        <v>323.11671000000001</v>
      </c>
      <c r="S602" s="1274">
        <f t="shared" si="201"/>
        <v>4.0057308377896478E-2</v>
      </c>
      <c r="T602" s="696">
        <f t="shared" si="202"/>
        <v>0.10285729754943614</v>
      </c>
      <c r="U602" s="261">
        <v>5.7142800000000005</v>
      </c>
      <c r="V602" s="239">
        <f t="shared" si="208"/>
        <v>6.8571360000000006</v>
      </c>
      <c r="W602" s="239">
        <f t="shared" si="209"/>
        <v>322.51167748800003</v>
      </c>
      <c r="X602" s="240">
        <f t="shared" si="210"/>
        <v>419</v>
      </c>
      <c r="Y602" s="239">
        <f t="shared" si="211"/>
        <v>403.86</v>
      </c>
      <c r="Z602" s="240">
        <f t="shared" si="212"/>
        <v>762</v>
      </c>
      <c r="AA602" s="241">
        <f t="shared" si="213"/>
        <v>0.23028239263007153</v>
      </c>
      <c r="AB602" s="241">
        <f t="shared" si="214"/>
        <v>0.2014270353885009</v>
      </c>
      <c r="AC602" s="265">
        <f t="shared" si="215"/>
        <v>0.12132873540240219</v>
      </c>
      <c r="AD602" s="1004"/>
      <c r="AE602" s="238">
        <f t="shared" si="216"/>
        <v>0</v>
      </c>
      <c r="AF602" s="239">
        <f t="shared" si="217"/>
        <v>8.9053714285714296</v>
      </c>
      <c r="AG602" s="1868">
        <v>16.190000000000001</v>
      </c>
      <c r="AH602" s="244">
        <f t="shared" si="218"/>
        <v>0.23000000000000004</v>
      </c>
      <c r="AI602" s="77">
        <f t="shared" si="219"/>
        <v>0.11707317073170732</v>
      </c>
      <c r="AJ602" s="498">
        <v>96</v>
      </c>
      <c r="AK602" s="270">
        <f t="shared" si="203"/>
        <v>26.418596021390286</v>
      </c>
      <c r="AL602" s="77">
        <f t="shared" si="220"/>
        <v>8.9860680947101271E-2</v>
      </c>
      <c r="AM602" s="77">
        <f t="shared" si="204"/>
        <v>1.6320701790176978E-3</v>
      </c>
      <c r="AN602" s="77">
        <f t="shared" si="205"/>
        <v>1.0351152682424633E-3</v>
      </c>
      <c r="AO602" s="13"/>
      <c r="AP602" s="13"/>
    </row>
    <row r="603" spans="1:42">
      <c r="A603" s="187"/>
      <c r="B603" s="1275" t="s">
        <v>622</v>
      </c>
      <c r="C603" s="1266" t="s">
        <v>640</v>
      </c>
      <c r="D603" s="1267">
        <v>940</v>
      </c>
      <c r="E603" s="688">
        <v>1</v>
      </c>
      <c r="F603" s="1268">
        <v>24</v>
      </c>
      <c r="G603" s="1276">
        <v>777</v>
      </c>
      <c r="H603" s="1270">
        <f t="shared" si="206"/>
        <v>831.3900000000001</v>
      </c>
      <c r="I603" s="1271">
        <f t="shared" si="221"/>
        <v>457.26450000000006</v>
      </c>
      <c r="J603" s="1272">
        <f t="shared" si="207"/>
        <v>427.34999999999997</v>
      </c>
      <c r="K603" s="1273">
        <v>8.73</v>
      </c>
      <c r="L603" s="382">
        <f t="shared" si="200"/>
        <v>410.59809000000001</v>
      </c>
      <c r="S603" s="1274">
        <f t="shared" si="201"/>
        <v>3.9199508599508492E-2</v>
      </c>
      <c r="T603" s="696">
        <f t="shared" si="202"/>
        <v>0.10205561551355952</v>
      </c>
      <c r="U603" s="238">
        <v>7.2567000000000004</v>
      </c>
      <c r="V603" s="239">
        <f t="shared" si="208"/>
        <v>8.7080400000000004</v>
      </c>
      <c r="W603" s="239">
        <f t="shared" si="209"/>
        <v>409.56524532000003</v>
      </c>
      <c r="X603" s="240">
        <f t="shared" si="210"/>
        <v>532</v>
      </c>
      <c r="Y603" s="239">
        <f t="shared" si="211"/>
        <v>512.51</v>
      </c>
      <c r="Z603" s="240">
        <f t="shared" si="212"/>
        <v>967</v>
      </c>
      <c r="AA603" s="241">
        <f t="shared" si="213"/>
        <v>0.23014051631578941</v>
      </c>
      <c r="AB603" s="241">
        <f t="shared" si="214"/>
        <v>0.2008638947142494</v>
      </c>
      <c r="AC603" s="265">
        <f t="shared" si="215"/>
        <v>0.12081738249962526</v>
      </c>
      <c r="AD603" s="1004"/>
      <c r="AE603" s="238">
        <f t="shared" si="216"/>
        <v>0</v>
      </c>
      <c r="AF603" s="239">
        <f t="shared" si="217"/>
        <v>11.309142857142858</v>
      </c>
      <c r="AG603" s="1868">
        <v>20.56</v>
      </c>
      <c r="AH603" s="244">
        <f t="shared" si="218"/>
        <v>0.22999999999999998</v>
      </c>
      <c r="AI603" s="77">
        <f t="shared" si="219"/>
        <v>0.16463414634146342</v>
      </c>
      <c r="AJ603" s="498">
        <v>135</v>
      </c>
      <c r="AK603" s="270">
        <f t="shared" si="203"/>
        <v>46.198580859950738</v>
      </c>
      <c r="AL603" s="77">
        <f t="shared" si="220"/>
        <v>0.15714067210474048</v>
      </c>
      <c r="AM603" s="77">
        <f t="shared" si="204"/>
        <v>2.2950986892436376E-3</v>
      </c>
      <c r="AN603" s="77">
        <f t="shared" si="205"/>
        <v>1.8101210367329904E-3</v>
      </c>
      <c r="AO603" s="13"/>
      <c r="AP603" s="13"/>
    </row>
    <row r="604" spans="1:42">
      <c r="A604" s="187"/>
      <c r="B604" s="1275" t="s">
        <v>623</v>
      </c>
      <c r="C604" s="1266" t="s">
        <v>641</v>
      </c>
      <c r="D604" s="1267">
        <v>1140</v>
      </c>
      <c r="E604" s="688">
        <v>1</v>
      </c>
      <c r="F604" s="1268">
        <v>18</v>
      </c>
      <c r="G604" s="1276">
        <v>942</v>
      </c>
      <c r="H604" s="1270">
        <f t="shared" si="206"/>
        <v>1007.94</v>
      </c>
      <c r="I604" s="1271">
        <f t="shared" si="221"/>
        <v>554.36699999999996</v>
      </c>
      <c r="J604" s="1272">
        <f t="shared" si="207"/>
        <v>518.09999999999991</v>
      </c>
      <c r="K604" s="331">
        <v>10.59</v>
      </c>
      <c r="L604" s="382">
        <f t="shared" si="200"/>
        <v>498.07947000000001</v>
      </c>
      <c r="S604" s="1274">
        <f t="shared" si="201"/>
        <v>3.8642211928198993E-2</v>
      </c>
      <c r="T604" s="696">
        <f t="shared" si="202"/>
        <v>0.10153477750298981</v>
      </c>
      <c r="U604" s="238">
        <v>8.8020899999999997</v>
      </c>
      <c r="V604" s="239">
        <f t="shared" si="208"/>
        <v>10.562507999999999</v>
      </c>
      <c r="W604" s="239">
        <f t="shared" si="209"/>
        <v>496.78643876399997</v>
      </c>
      <c r="X604" s="240">
        <f t="shared" si="210"/>
        <v>645</v>
      </c>
      <c r="Y604" s="239">
        <f t="shared" si="211"/>
        <v>621.69000000000005</v>
      </c>
      <c r="Z604" s="240">
        <f t="shared" si="212"/>
        <v>1173</v>
      </c>
      <c r="AA604" s="241">
        <f t="shared" si="213"/>
        <v>0.2297884670325582</v>
      </c>
      <c r="AB604" s="241">
        <f t="shared" si="214"/>
        <v>0.20090971583264983</v>
      </c>
      <c r="AC604" s="265">
        <f t="shared" si="215"/>
        <v>0.12144121132751429</v>
      </c>
      <c r="AD604" s="1004"/>
      <c r="AE604" s="238">
        <f t="shared" si="216"/>
        <v>0</v>
      </c>
      <c r="AF604" s="239">
        <f t="shared" si="217"/>
        <v>13.717542857142856</v>
      </c>
      <c r="AG604" s="1868">
        <v>24.94</v>
      </c>
      <c r="AH604" s="244">
        <f t="shared" si="218"/>
        <v>0.22999999999999998</v>
      </c>
      <c r="AI604" s="77">
        <f t="shared" si="219"/>
        <v>6.097560975609756E-2</v>
      </c>
      <c r="AJ604" s="498">
        <v>50</v>
      </c>
      <c r="AK604" s="270">
        <f t="shared" si="203"/>
        <v>20.461051215981367</v>
      </c>
      <c r="AL604" s="77">
        <f t="shared" si="220"/>
        <v>6.959658241009134E-2</v>
      </c>
      <c r="AM604" s="77">
        <f t="shared" si="204"/>
        <v>8.5003655157171753E-4</v>
      </c>
      <c r="AN604" s="77">
        <f t="shared" si="205"/>
        <v>8.0169084310176579E-4</v>
      </c>
      <c r="AO604" s="13"/>
      <c r="AP604" s="13"/>
    </row>
    <row r="605" spans="1:42">
      <c r="A605" s="187"/>
      <c r="B605" s="1275" t="s">
        <v>624</v>
      </c>
      <c r="C605" s="1266" t="s">
        <v>642</v>
      </c>
      <c r="D605" s="1267">
        <v>1340</v>
      </c>
      <c r="E605" s="688">
        <v>1</v>
      </c>
      <c r="F605" s="1268">
        <v>21</v>
      </c>
      <c r="G605" s="1276">
        <v>1108</v>
      </c>
      <c r="H605" s="1270">
        <f t="shared" si="206"/>
        <v>1185.5600000000002</v>
      </c>
      <c r="I605" s="1271">
        <f t="shared" si="221"/>
        <v>652.05800000000011</v>
      </c>
      <c r="J605" s="1272">
        <f t="shared" si="207"/>
        <v>609.4</v>
      </c>
      <c r="K605" s="331">
        <v>12.45</v>
      </c>
      <c r="L605" s="382">
        <f t="shared" si="200"/>
        <v>585.56084999999996</v>
      </c>
      <c r="S605" s="1274">
        <f t="shared" si="201"/>
        <v>3.911905152609127E-2</v>
      </c>
      <c r="T605" s="696">
        <f t="shared" si="202"/>
        <v>0.10198042198700137</v>
      </c>
      <c r="U605" s="261">
        <v>10.346490000000001</v>
      </c>
      <c r="V605" s="239">
        <f t="shared" si="208"/>
        <v>12.415788000000001</v>
      </c>
      <c r="W605" s="239">
        <f t="shared" si="209"/>
        <v>583.95175700400011</v>
      </c>
      <c r="X605" s="240">
        <f t="shared" si="210"/>
        <v>758</v>
      </c>
      <c r="Y605" s="239">
        <f t="shared" si="211"/>
        <v>730.34</v>
      </c>
      <c r="Z605" s="240">
        <f t="shared" si="212"/>
        <v>1378</v>
      </c>
      <c r="AA605" s="241">
        <f t="shared" si="213"/>
        <v>0.22961509630079141</v>
      </c>
      <c r="AB605" s="241">
        <f t="shared" si="214"/>
        <v>0.20043848480981449</v>
      </c>
      <c r="AC605" s="265">
        <f t="shared" si="215"/>
        <v>0.12005373755095383</v>
      </c>
      <c r="AD605" s="1004"/>
      <c r="AE605" s="238">
        <f t="shared" si="216"/>
        <v>0</v>
      </c>
      <c r="AF605" s="239">
        <f t="shared" si="217"/>
        <v>16.124400000000001</v>
      </c>
      <c r="AG605" s="1868">
        <v>29.32</v>
      </c>
      <c r="AH605" s="244">
        <f t="shared" si="218"/>
        <v>0.23</v>
      </c>
      <c r="AI605" s="77">
        <f t="shared" si="219"/>
        <v>3.5365853658536582E-2</v>
      </c>
      <c r="AJ605" s="498">
        <v>29</v>
      </c>
      <c r="AK605" s="270">
        <f t="shared" si="203"/>
        <v>14.123933553495252</v>
      </c>
      <c r="AL605" s="77">
        <f t="shared" si="220"/>
        <v>4.8041398026642895E-2</v>
      </c>
      <c r="AM605" s="77">
        <f t="shared" si="204"/>
        <v>4.9302119991159624E-4</v>
      </c>
      <c r="AN605" s="77">
        <f t="shared" si="205"/>
        <v>5.5339425520673793E-4</v>
      </c>
      <c r="AO605" s="13"/>
      <c r="AP605" s="13"/>
    </row>
    <row r="606" spans="1:42">
      <c r="A606" s="187"/>
      <c r="B606" s="1275" t="s">
        <v>625</v>
      </c>
      <c r="C606" s="1266" t="s">
        <v>643</v>
      </c>
      <c r="D606" s="1267">
        <v>1540</v>
      </c>
      <c r="E606" s="688">
        <v>1</v>
      </c>
      <c r="F606" s="1268">
        <v>12</v>
      </c>
      <c r="G606" s="1276">
        <v>1273</v>
      </c>
      <c r="H606" s="1270">
        <f t="shared" si="206"/>
        <v>1362.1100000000001</v>
      </c>
      <c r="I606" s="1271">
        <f t="shared" si="221"/>
        <v>749.16050000000007</v>
      </c>
      <c r="J606" s="1272">
        <f t="shared" si="207"/>
        <v>700.15</v>
      </c>
      <c r="K606" s="331">
        <v>14.3</v>
      </c>
      <c r="L606" s="382">
        <f t="shared" si="200"/>
        <v>672.57190000000003</v>
      </c>
      <c r="S606" s="1274">
        <f t="shared" si="201"/>
        <v>3.9388845247446902E-2</v>
      </c>
      <c r="T606" s="696">
        <f t="shared" si="202"/>
        <v>0.10223256565181965</v>
      </c>
      <c r="U606" s="261">
        <v>11.890889999999999</v>
      </c>
      <c r="V606" s="239">
        <f t="shared" si="208"/>
        <v>14.269067999999999</v>
      </c>
      <c r="W606" s="239">
        <f t="shared" si="209"/>
        <v>671.11707524399992</v>
      </c>
      <c r="X606" s="240">
        <f t="shared" si="210"/>
        <v>872</v>
      </c>
      <c r="Y606" s="239">
        <f t="shared" si="211"/>
        <v>840.05000000000007</v>
      </c>
      <c r="Z606" s="240">
        <f t="shared" si="212"/>
        <v>1585</v>
      </c>
      <c r="AA606" s="241">
        <f t="shared" si="213"/>
        <v>0.23037032655504597</v>
      </c>
      <c r="AB606" s="241">
        <f t="shared" si="214"/>
        <v>0.20109865455151496</v>
      </c>
      <c r="AC606" s="265">
        <f t="shared" si="215"/>
        <v>0.1213217995342788</v>
      </c>
      <c r="AD606" s="1004"/>
      <c r="AE606" s="238">
        <f t="shared" si="216"/>
        <v>0</v>
      </c>
      <c r="AF606" s="239">
        <f t="shared" si="217"/>
        <v>18.53125714285714</v>
      </c>
      <c r="AG606" s="1868">
        <v>33.69</v>
      </c>
      <c r="AH606" s="244">
        <f t="shared" si="218"/>
        <v>0.22999999999999993</v>
      </c>
      <c r="AI606" s="77">
        <f t="shared" si="219"/>
        <v>5.24390243902439E-2</v>
      </c>
      <c r="AJ606" s="498">
        <v>43</v>
      </c>
      <c r="AK606" s="270">
        <f t="shared" si="203"/>
        <v>24.220200942655101</v>
      </c>
      <c r="AL606" s="77">
        <f t="shared" si="220"/>
        <v>8.2383020945564822E-2</v>
      </c>
      <c r="AM606" s="77">
        <f t="shared" si="204"/>
        <v>7.3103143435167717E-4</v>
      </c>
      <c r="AN606" s="77">
        <f t="shared" si="205"/>
        <v>9.4897926352119019E-4</v>
      </c>
      <c r="AO606" s="13"/>
      <c r="AP606" s="13"/>
    </row>
    <row r="607" spans="1:42">
      <c r="A607" s="187"/>
      <c r="B607" s="1275" t="s">
        <v>626</v>
      </c>
      <c r="C607" s="1266" t="s">
        <v>644</v>
      </c>
      <c r="D607" s="1267">
        <v>640</v>
      </c>
      <c r="E607" s="688">
        <v>1</v>
      </c>
      <c r="F607" s="1268">
        <v>30</v>
      </c>
      <c r="G607" s="1276">
        <v>529</v>
      </c>
      <c r="H607" s="1270">
        <f t="shared" si="206"/>
        <v>566.03000000000009</v>
      </c>
      <c r="I607" s="1271">
        <f t="shared" si="221"/>
        <v>311.31650000000002</v>
      </c>
      <c r="J607" s="1272">
        <f t="shared" si="207"/>
        <v>290.95</v>
      </c>
      <c r="K607" s="1273">
        <v>5.94</v>
      </c>
      <c r="L607" s="382">
        <f t="shared" si="200"/>
        <v>279.37602000000004</v>
      </c>
      <c r="S607" s="1274">
        <f t="shared" si="201"/>
        <v>3.9779962192816459E-2</v>
      </c>
      <c r="T607" s="696">
        <f t="shared" si="202"/>
        <v>0.1025980955073052</v>
      </c>
      <c r="U607" s="261">
        <v>4.9420799999999998</v>
      </c>
      <c r="V607" s="239">
        <f t="shared" si="208"/>
        <v>5.9304959999999998</v>
      </c>
      <c r="W607" s="239">
        <f t="shared" si="209"/>
        <v>278.92901836800002</v>
      </c>
      <c r="X607" s="240">
        <f t="shared" si="210"/>
        <v>362</v>
      </c>
      <c r="Y607" s="239">
        <f t="shared" si="211"/>
        <v>348.74</v>
      </c>
      <c r="Z607" s="240">
        <f t="shared" si="212"/>
        <v>658</v>
      </c>
      <c r="AA607" s="241">
        <f t="shared" si="213"/>
        <v>0.22947784981215466</v>
      </c>
      <c r="AB607" s="241">
        <f t="shared" si="214"/>
        <v>0.2001805976716178</v>
      </c>
      <c r="AC607" s="265">
        <f t="shared" si="215"/>
        <v>0.12021046105811917</v>
      </c>
      <c r="AD607" s="1004"/>
      <c r="AE607" s="238">
        <f t="shared" si="216"/>
        <v>0</v>
      </c>
      <c r="AF607" s="239">
        <f t="shared" si="217"/>
        <v>7.701942857142857</v>
      </c>
      <c r="AG607" s="1868">
        <v>14</v>
      </c>
      <c r="AH607" s="244">
        <f t="shared" si="218"/>
        <v>0.23</v>
      </c>
      <c r="AI607" s="77">
        <f t="shared" si="219"/>
        <v>1.8292682926829267E-2</v>
      </c>
      <c r="AJ607" s="498">
        <v>15</v>
      </c>
      <c r="AK607" s="270">
        <f t="shared" si="203"/>
        <v>3.544394631379947</v>
      </c>
      <c r="AL607" s="77">
        <f t="shared" si="220"/>
        <v>1.2055966746422536E-2</v>
      </c>
      <c r="AM607" s="77">
        <f t="shared" si="204"/>
        <v>2.5501096547151525E-4</v>
      </c>
      <c r="AN607" s="77">
        <f t="shared" si="205"/>
        <v>1.3887403390579293E-4</v>
      </c>
      <c r="AO607" s="13"/>
      <c r="AP607" s="13"/>
    </row>
    <row r="608" spans="1:42">
      <c r="A608" s="187"/>
      <c r="B608" s="1275" t="s">
        <v>627</v>
      </c>
      <c r="C608" s="1266" t="s">
        <v>645</v>
      </c>
      <c r="D608" s="1267">
        <v>860</v>
      </c>
      <c r="E608" s="688">
        <v>1</v>
      </c>
      <c r="F608" s="1268">
        <v>21</v>
      </c>
      <c r="G608" s="1276">
        <v>711</v>
      </c>
      <c r="H608" s="1270">
        <f t="shared" si="206"/>
        <v>760.7700000000001</v>
      </c>
      <c r="I608" s="1271">
        <f t="shared" si="221"/>
        <v>418.42350000000005</v>
      </c>
      <c r="J608" s="1272">
        <f t="shared" si="207"/>
        <v>391.05</v>
      </c>
      <c r="K608" s="331">
        <v>7.99</v>
      </c>
      <c r="L608" s="382">
        <f t="shared" si="200"/>
        <v>375.79367000000002</v>
      </c>
      <c r="S608" s="1274">
        <f t="shared" si="201"/>
        <v>3.9013757831479326E-2</v>
      </c>
      <c r="T608" s="696">
        <f t="shared" si="202"/>
        <v>0.10188201666493403</v>
      </c>
      <c r="U608" s="238">
        <v>6.6399299999999997</v>
      </c>
      <c r="V608" s="239">
        <f t="shared" si="208"/>
        <v>7.9679159999999989</v>
      </c>
      <c r="W608" s="239">
        <f t="shared" si="209"/>
        <v>374.75499322799993</v>
      </c>
      <c r="X608" s="240">
        <f t="shared" si="210"/>
        <v>487</v>
      </c>
      <c r="Y608" s="239">
        <f t="shared" si="211"/>
        <v>469.05</v>
      </c>
      <c r="Z608" s="240">
        <f t="shared" si="212"/>
        <v>885</v>
      </c>
      <c r="AA608" s="241">
        <f t="shared" si="213"/>
        <v>0.23048256010677631</v>
      </c>
      <c r="AB608" s="241">
        <f t="shared" si="214"/>
        <v>0.20103401934122178</v>
      </c>
      <c r="AC608" s="265">
        <f t="shared" si="215"/>
        <v>0.12099344324589789</v>
      </c>
      <c r="AD608" s="1004"/>
      <c r="AE608" s="238">
        <f t="shared" si="216"/>
        <v>0</v>
      </c>
      <c r="AF608" s="239">
        <f t="shared" si="217"/>
        <v>10.347942857142856</v>
      </c>
      <c r="AG608" s="1868">
        <v>18.809999999999999</v>
      </c>
      <c r="AH608" s="244">
        <f t="shared" si="218"/>
        <v>0.23</v>
      </c>
      <c r="AI608" s="77">
        <f t="shared" si="219"/>
        <v>2.4390243902439024E-3</v>
      </c>
      <c r="AJ608" s="498">
        <v>2</v>
      </c>
      <c r="AK608" s="270">
        <f t="shared" si="203"/>
        <v>0.62343985014703962</v>
      </c>
      <c r="AL608" s="77">
        <f t="shared" si="220"/>
        <v>2.1205793607810179E-3</v>
      </c>
      <c r="AM608" s="77">
        <f t="shared" si="204"/>
        <v>3.4001462062868702E-5</v>
      </c>
      <c r="AN608" s="77">
        <f t="shared" si="205"/>
        <v>2.442719163408568E-5</v>
      </c>
      <c r="AO608" s="13"/>
      <c r="AP608" s="13"/>
    </row>
    <row r="609" spans="1:42">
      <c r="A609" s="187"/>
      <c r="B609" s="1275" t="s">
        <v>628</v>
      </c>
      <c r="C609" s="1266" t="s">
        <v>646</v>
      </c>
      <c r="D609" s="1267">
        <v>1080</v>
      </c>
      <c r="E609" s="688">
        <v>1</v>
      </c>
      <c r="F609" s="1268">
        <v>18</v>
      </c>
      <c r="G609" s="1276">
        <v>893</v>
      </c>
      <c r="H609" s="1270">
        <f t="shared" si="206"/>
        <v>955.5100000000001</v>
      </c>
      <c r="I609" s="1271">
        <f t="shared" si="221"/>
        <v>525.53050000000007</v>
      </c>
      <c r="J609" s="1272">
        <f t="shared" si="207"/>
        <v>491.15</v>
      </c>
      <c r="K609" s="1273">
        <v>10.029999999999999</v>
      </c>
      <c r="L609" s="382">
        <f t="shared" si="200"/>
        <v>471.74099000000001</v>
      </c>
      <c r="S609" s="1274">
        <f t="shared" si="201"/>
        <v>3.9517479385116495E-2</v>
      </c>
      <c r="T609" s="696">
        <f t="shared" si="202"/>
        <v>0.10235278447207166</v>
      </c>
      <c r="U609" s="238">
        <v>8.3387700000000002</v>
      </c>
      <c r="V609" s="239">
        <f t="shared" si="208"/>
        <v>10.006524000000001</v>
      </c>
      <c r="W609" s="239">
        <f t="shared" si="209"/>
        <v>470.63684329200004</v>
      </c>
      <c r="X609" s="240">
        <f t="shared" si="210"/>
        <v>611</v>
      </c>
      <c r="Y609" s="239">
        <f t="shared" si="211"/>
        <v>588.83000000000004</v>
      </c>
      <c r="Z609" s="240">
        <f t="shared" si="212"/>
        <v>1111</v>
      </c>
      <c r="AA609" s="241">
        <f t="shared" si="213"/>
        <v>0.22972693405564643</v>
      </c>
      <c r="AB609" s="241">
        <f t="shared" si="214"/>
        <v>0.20072543299084625</v>
      </c>
      <c r="AC609" s="265">
        <f t="shared" si="215"/>
        <v>0.12044876558068451</v>
      </c>
      <c r="AD609" s="1004"/>
      <c r="AE609" s="238">
        <f t="shared" si="216"/>
        <v>0</v>
      </c>
      <c r="AF609" s="239">
        <f t="shared" si="217"/>
        <v>12.995485714285715</v>
      </c>
      <c r="AG609" s="1868">
        <v>23.63</v>
      </c>
      <c r="AH609" s="244">
        <f t="shared" si="218"/>
        <v>0.23</v>
      </c>
      <c r="AI609" s="77">
        <f t="shared" si="219"/>
        <v>4.8780487804878049E-3</v>
      </c>
      <c r="AJ609" s="498">
        <v>4</v>
      </c>
      <c r="AK609" s="270">
        <f t="shared" si="203"/>
        <v>1.5854412729308738</v>
      </c>
      <c r="AL609" s="77">
        <f t="shared" si="220"/>
        <v>5.3927480579155276E-3</v>
      </c>
      <c r="AM609" s="77">
        <f t="shared" si="204"/>
        <v>6.8002924125737404E-5</v>
      </c>
      <c r="AN609" s="77">
        <f t="shared" si="205"/>
        <v>6.2119670068150345E-5</v>
      </c>
      <c r="AO609" s="13"/>
      <c r="AP609" s="13"/>
    </row>
    <row r="610" spans="1:42">
      <c r="A610" s="187"/>
      <c r="B610" s="1275" t="s">
        <v>629</v>
      </c>
      <c r="C610" s="1266" t="s">
        <v>647</v>
      </c>
      <c r="D610" s="1267">
        <v>1300</v>
      </c>
      <c r="E610" s="688">
        <v>1</v>
      </c>
      <c r="F610" s="1268">
        <v>15</v>
      </c>
      <c r="G610" s="1276">
        <v>1075</v>
      </c>
      <c r="H610" s="1270">
        <f t="shared" si="206"/>
        <v>1150.25</v>
      </c>
      <c r="I610" s="1271">
        <f t="shared" si="221"/>
        <v>632.63749999999993</v>
      </c>
      <c r="J610" s="1272">
        <f t="shared" si="207"/>
        <v>591.25</v>
      </c>
      <c r="K610" s="331">
        <v>12.07</v>
      </c>
      <c r="L610" s="382">
        <f t="shared" si="200"/>
        <v>567.68831</v>
      </c>
      <c r="S610" s="1274">
        <f t="shared" si="201"/>
        <v>3.9850638477801265E-2</v>
      </c>
      <c r="T610" s="696">
        <f t="shared" si="202"/>
        <v>0.10266414811009454</v>
      </c>
      <c r="U610" s="261">
        <v>10.037609999999999</v>
      </c>
      <c r="V610" s="239">
        <f t="shared" si="208"/>
        <v>12.045131999999999</v>
      </c>
      <c r="W610" s="239">
        <f t="shared" si="209"/>
        <v>566.51869335599997</v>
      </c>
      <c r="X610" s="240">
        <f t="shared" si="210"/>
        <v>736</v>
      </c>
      <c r="Y610" s="239">
        <f t="shared" si="211"/>
        <v>709.14</v>
      </c>
      <c r="Z610" s="240">
        <f t="shared" si="212"/>
        <v>1338</v>
      </c>
      <c r="AA610" s="241">
        <f t="shared" si="213"/>
        <v>0.23027351446195657</v>
      </c>
      <c r="AB610" s="241">
        <f t="shared" si="214"/>
        <v>0.20111868833234625</v>
      </c>
      <c r="AC610" s="265">
        <f t="shared" si="215"/>
        <v>0.12092628084803714</v>
      </c>
      <c r="AD610" s="1004"/>
      <c r="AE610" s="238">
        <f t="shared" si="216"/>
        <v>0</v>
      </c>
      <c r="AF610" s="239">
        <f t="shared" si="217"/>
        <v>15.64302857142857</v>
      </c>
      <c r="AG610" s="1868">
        <v>28.44</v>
      </c>
      <c r="AH610" s="244">
        <f t="shared" si="218"/>
        <v>0.22999999999999998</v>
      </c>
      <c r="AI610" s="77">
        <f t="shared" si="219"/>
        <v>5.3658536585365853E-2</v>
      </c>
      <c r="AJ610" s="498">
        <v>44</v>
      </c>
      <c r="AK610" s="270">
        <f t="shared" si="203"/>
        <v>21.163877082790698</v>
      </c>
      <c r="AL610" s="77">
        <f t="shared" si="220"/>
        <v>7.1987186775576445E-2</v>
      </c>
      <c r="AM610" s="77">
        <f t="shared" si="204"/>
        <v>7.4803216538311143E-4</v>
      </c>
      <c r="AN610" s="77">
        <f t="shared" si="205"/>
        <v>8.2922848306798676E-4</v>
      </c>
      <c r="AO610" s="13"/>
      <c r="AP610" s="13"/>
    </row>
    <row r="611" spans="1:42">
      <c r="A611" s="187"/>
      <c r="B611" s="1275" t="s">
        <v>630</v>
      </c>
      <c r="C611" s="1266" t="s">
        <v>648</v>
      </c>
      <c r="D611" s="1267">
        <v>1520</v>
      </c>
      <c r="E611" s="688">
        <v>1</v>
      </c>
      <c r="F611" s="1268">
        <v>18</v>
      </c>
      <c r="G611" s="1276">
        <v>1256</v>
      </c>
      <c r="H611" s="1270">
        <f t="shared" si="206"/>
        <v>1343.92</v>
      </c>
      <c r="I611" s="1271">
        <f t="shared" si="221"/>
        <v>739.15600000000006</v>
      </c>
      <c r="J611" s="1272">
        <f t="shared" si="207"/>
        <v>690.8</v>
      </c>
      <c r="K611" s="331">
        <v>14.12</v>
      </c>
      <c r="L611" s="382">
        <f t="shared" si="200"/>
        <v>664.10595999999998</v>
      </c>
      <c r="S611" s="1274">
        <f t="shared" si="201"/>
        <v>3.8642211928199152E-2</v>
      </c>
      <c r="T611" s="696">
        <f t="shared" si="202"/>
        <v>0.10153477750299</v>
      </c>
      <c r="U611" s="261">
        <v>11.73546</v>
      </c>
      <c r="V611" s="239">
        <f t="shared" si="208"/>
        <v>14.082552</v>
      </c>
      <c r="W611" s="239">
        <f t="shared" si="209"/>
        <v>662.34466821600006</v>
      </c>
      <c r="X611" s="240">
        <f t="shared" si="210"/>
        <v>860</v>
      </c>
      <c r="Y611" s="239">
        <f t="shared" si="211"/>
        <v>828.92000000000007</v>
      </c>
      <c r="Z611" s="240">
        <f t="shared" si="212"/>
        <v>1564</v>
      </c>
      <c r="AA611" s="241">
        <f t="shared" si="213"/>
        <v>0.22983178114418598</v>
      </c>
      <c r="AB611" s="241">
        <f t="shared" si="214"/>
        <v>0.20095465398832216</v>
      </c>
      <c r="AC611" s="265">
        <f t="shared" si="215"/>
        <v>0.12144121132751406</v>
      </c>
      <c r="AD611" s="1004"/>
      <c r="AE611" s="238">
        <f t="shared" si="216"/>
        <v>0</v>
      </c>
      <c r="AF611" s="239">
        <f t="shared" si="217"/>
        <v>18.28902857142857</v>
      </c>
      <c r="AG611" s="1868">
        <v>33.25</v>
      </c>
      <c r="AH611" s="244">
        <f t="shared" si="218"/>
        <v>0.22999999999999995</v>
      </c>
      <c r="AI611" s="77">
        <f t="shared" si="219"/>
        <v>2.4390243902439024E-3</v>
      </c>
      <c r="AJ611" s="498">
        <v>2</v>
      </c>
      <c r="AK611" s="270">
        <f t="shared" si="203"/>
        <v>1.0912560648523439</v>
      </c>
      <c r="AL611" s="77">
        <f t="shared" si="220"/>
        <v>3.7118177285382194E-3</v>
      </c>
      <c r="AM611" s="77">
        <f t="shared" si="204"/>
        <v>3.4001462062868702E-5</v>
      </c>
      <c r="AN611" s="77">
        <f t="shared" si="205"/>
        <v>4.2756844965427679E-5</v>
      </c>
      <c r="AO611" s="13"/>
      <c r="AP611" s="13"/>
    </row>
    <row r="612" spans="1:42" ht="15.75" thickBot="1">
      <c r="A612" s="1840"/>
      <c r="B612" s="1277" t="s">
        <v>631</v>
      </c>
      <c r="C612" s="1278" t="s">
        <v>649</v>
      </c>
      <c r="D612" s="1279">
        <v>1740</v>
      </c>
      <c r="E612" s="1280">
        <v>1</v>
      </c>
      <c r="F612" s="1281">
        <v>9</v>
      </c>
      <c r="G612" s="1282">
        <v>1438</v>
      </c>
      <c r="H612" s="1270">
        <f t="shared" si="206"/>
        <v>1538.66</v>
      </c>
      <c r="I612" s="1271">
        <f t="shared" si="221"/>
        <v>846.26300000000003</v>
      </c>
      <c r="J612" s="1272">
        <f t="shared" si="207"/>
        <v>790.9</v>
      </c>
      <c r="K612" s="331">
        <v>16.149999999999999</v>
      </c>
      <c r="L612" s="382">
        <f t="shared" si="200"/>
        <v>759.58294999999998</v>
      </c>
      <c r="S612" s="1274">
        <f t="shared" si="201"/>
        <v>3.9596725249715511E-2</v>
      </c>
      <c r="T612" s="919">
        <f t="shared" si="202"/>
        <v>0.10242684602777156</v>
      </c>
      <c r="U612" s="261">
        <v>13.4343</v>
      </c>
      <c r="V612" s="239">
        <f t="shared" si="208"/>
        <v>16.12116</v>
      </c>
      <c r="W612" s="239">
        <f t="shared" si="209"/>
        <v>758.22651828000005</v>
      </c>
      <c r="X612" s="240">
        <f t="shared" si="210"/>
        <v>985</v>
      </c>
      <c r="Y612" s="239">
        <f t="shared" si="211"/>
        <v>949.23</v>
      </c>
      <c r="Z612" s="240">
        <f t="shared" si="212"/>
        <v>1791</v>
      </c>
      <c r="AA612" s="241">
        <f t="shared" si="213"/>
        <v>0.2302268849949238</v>
      </c>
      <c r="AB612" s="241">
        <f t="shared" si="214"/>
        <v>0.20121939015833884</v>
      </c>
      <c r="AC612" s="265">
        <f t="shared" si="215"/>
        <v>0.12167257696484435</v>
      </c>
      <c r="AD612" s="1004"/>
      <c r="AE612" s="238">
        <f t="shared" si="216"/>
        <v>0</v>
      </c>
      <c r="AF612" s="239">
        <f t="shared" si="217"/>
        <v>20.936571428571426</v>
      </c>
      <c r="AG612" s="1868">
        <v>38.07</v>
      </c>
      <c r="AH612" s="244">
        <f t="shared" si="218"/>
        <v>0.22999999999999993</v>
      </c>
      <c r="AI612" s="92">
        <f t="shared" si="219"/>
        <v>0.14878048780487804</v>
      </c>
      <c r="AJ612" s="86">
        <v>122</v>
      </c>
      <c r="AK612" s="297">
        <f t="shared" si="203"/>
        <v>78.017427759514476</v>
      </c>
      <c r="AL612" s="92">
        <f t="shared" si="220"/>
        <v>0.26536986214312502</v>
      </c>
      <c r="AM612" s="92">
        <f t="shared" si="204"/>
        <v>2.0740891858349909E-3</v>
      </c>
      <c r="AN612" s="92">
        <f t="shared" si="205"/>
        <v>3.0568252225625643E-3</v>
      </c>
      <c r="AO612" s="13"/>
      <c r="AP612" s="13"/>
    </row>
    <row r="613" spans="1:42">
      <c r="A613" s="1840"/>
      <c r="B613" s="515"/>
      <c r="C613" s="1283"/>
      <c r="D613" s="516"/>
      <c r="E613" s="2"/>
      <c r="F613" s="1284"/>
      <c r="G613" s="1285"/>
      <c r="H613" s="1286"/>
      <c r="I613" s="1287"/>
      <c r="J613" s="1042"/>
      <c r="K613" s="533"/>
      <c r="M613" s="1041"/>
      <c r="N613" s="1043"/>
      <c r="AC613" s="13">
        <f>AVERAGE(AC595:AC612)</f>
        <v>0.12126069661535228</v>
      </c>
      <c r="AI613" s="512">
        <f>S595*AI595+S596*AI596+S597*AI597+S598*AI598+S599*AI599+S600*AI600+S601*AI601+S602*AI602+S603*AI603+S604*AI604+S605*AI605+S606*AI606+S607*AI607+S608*AI608+S609*AI609+S610*AI610+S611*AI611+S612*AI612</f>
        <v>3.9455335714698059E-2</v>
      </c>
      <c r="AJ613" s="304">
        <f>SUM(AJ595:AJ612)</f>
        <v>820</v>
      </c>
      <c r="AK613" s="514">
        <f>SUM(AK595:AK612)</f>
        <v>293.99505704772315</v>
      </c>
      <c r="AM613" s="307">
        <f>SUM(AM595:AM612)</f>
        <v>1.3940599445776167E-2</v>
      </c>
      <c r="AN613" s="307">
        <f>SUM(AN595:AN612)</f>
        <v>1.1519112222750792E-2</v>
      </c>
      <c r="AO613" s="13"/>
      <c r="AP613" s="13"/>
    </row>
    <row r="614" spans="1:42">
      <c r="A614" s="1840"/>
      <c r="B614" s="515"/>
      <c r="C614" s="1283"/>
      <c r="D614" s="516"/>
      <c r="E614" s="2"/>
      <c r="F614" s="1284"/>
      <c r="G614" s="1285"/>
      <c r="H614" s="1286"/>
      <c r="I614" s="1287"/>
      <c r="J614" s="1042"/>
      <c r="K614" s="533"/>
      <c r="AO614" s="13"/>
      <c r="AP614" s="13"/>
    </row>
    <row r="615" spans="1:42">
      <c r="A615" s="1840"/>
      <c r="B615" s="515"/>
      <c r="C615" s="1283"/>
      <c r="D615" s="516"/>
      <c r="E615" s="2"/>
      <c r="F615" s="1284"/>
      <c r="G615" s="1285"/>
      <c r="H615" s="1286"/>
      <c r="I615" s="1287"/>
      <c r="J615" s="1042"/>
      <c r="K615" s="533"/>
      <c r="AO615" s="13"/>
      <c r="AP615" s="13"/>
    </row>
    <row r="616" spans="1:42">
      <c r="A616" s="2367" t="s">
        <v>1301</v>
      </c>
      <c r="B616" s="2367"/>
      <c r="C616" s="2367"/>
      <c r="D616" s="2367"/>
      <c r="E616" s="2367"/>
      <c r="F616" s="2367"/>
      <c r="G616" s="2367"/>
      <c r="H616" s="2367"/>
      <c r="I616" s="2367"/>
      <c r="J616" s="2367"/>
      <c r="K616" s="533"/>
      <c r="N616" s="870">
        <v>0.5</v>
      </c>
      <c r="AO616" s="13"/>
      <c r="AP616" s="13"/>
    </row>
    <row r="617" spans="1:42" ht="15.75" thickBot="1">
      <c r="A617" s="2367"/>
      <c r="B617" s="2367"/>
      <c r="C617" s="2367"/>
      <c r="D617" s="2367"/>
      <c r="E617" s="2367"/>
      <c r="F617" s="2367"/>
      <c r="G617" s="2367"/>
      <c r="H617" s="2367"/>
      <c r="I617" s="2367"/>
      <c r="J617" s="2367"/>
      <c r="K617" s="2309" t="s">
        <v>1302</v>
      </c>
      <c r="L617" s="2309"/>
      <c r="M617" s="2309"/>
      <c r="N617" s="2309"/>
      <c r="O617" s="2309"/>
      <c r="P617" s="1852"/>
      <c r="T617" s="1851"/>
      <c r="U617" s="627"/>
      <c r="V617" s="627"/>
      <c r="W617" s="627"/>
      <c r="X617" s="627"/>
      <c r="Y617" s="627"/>
      <c r="Z617" s="627"/>
      <c r="AA617" s="614">
        <v>0.42</v>
      </c>
      <c r="AB617" s="628">
        <v>0.38</v>
      </c>
      <c r="AC617" s="628"/>
      <c r="AD617" s="1851"/>
      <c r="AE617" s="188"/>
      <c r="AF617" s="188"/>
      <c r="AG617" s="1866"/>
      <c r="AH617" s="1851"/>
      <c r="AO617" s="13"/>
      <c r="AP617" s="13"/>
    </row>
    <row r="618" spans="1:42" ht="60.75" thickBot="1">
      <c r="A618" s="149" t="s">
        <v>650</v>
      </c>
      <c r="B618" s="1263" t="s">
        <v>10</v>
      </c>
      <c r="C618" s="990" t="s">
        <v>11</v>
      </c>
      <c r="D618" s="370" t="s">
        <v>12</v>
      </c>
      <c r="E618" s="370" t="s">
        <v>13</v>
      </c>
      <c r="F618" s="370" t="s">
        <v>14</v>
      </c>
      <c r="G618" s="371" t="s">
        <v>15</v>
      </c>
      <c r="H618" s="372" t="s">
        <v>1090</v>
      </c>
      <c r="I618" s="372">
        <f>$C$17</f>
        <v>0.45</v>
      </c>
      <c r="J618" s="684">
        <f>$C$17</f>
        <v>0.45</v>
      </c>
      <c r="K618" s="1124" t="s">
        <v>15</v>
      </c>
      <c r="L618" s="423" t="s">
        <v>12</v>
      </c>
      <c r="M618" s="196" t="s">
        <v>1091</v>
      </c>
      <c r="N618" s="549" t="s">
        <v>993</v>
      </c>
      <c r="O618" s="424" t="s">
        <v>1092</v>
      </c>
      <c r="P618" s="602" t="s">
        <v>1092</v>
      </c>
      <c r="Q618" s="875" t="s">
        <v>1093</v>
      </c>
      <c r="R618" s="876" t="s">
        <v>1094</v>
      </c>
      <c r="S618" s="1126" t="s">
        <v>1095</v>
      </c>
      <c r="T618" s="203" t="s">
        <v>1095</v>
      </c>
      <c r="U618" s="204" t="s">
        <v>1096</v>
      </c>
      <c r="V618" s="205" t="s">
        <v>1093</v>
      </c>
      <c r="W618" s="206" t="s">
        <v>1094</v>
      </c>
      <c r="X618" s="207" t="s">
        <v>1097</v>
      </c>
      <c r="Y618" s="208">
        <f>$X$591</f>
        <v>0.47</v>
      </c>
      <c r="Z618" s="207" t="s">
        <v>1098</v>
      </c>
      <c r="AA618" s="209" t="s">
        <v>1099</v>
      </c>
      <c r="AB618" s="209" t="s">
        <v>1100</v>
      </c>
      <c r="AC618" s="210" t="s">
        <v>1092</v>
      </c>
      <c r="AD618" s="211" t="s">
        <v>1101</v>
      </c>
      <c r="AE618" s="209" t="s">
        <v>1102</v>
      </c>
      <c r="AF618" s="208" t="s">
        <v>1103</v>
      </c>
      <c r="AG618" s="1867" t="s">
        <v>1104</v>
      </c>
      <c r="AH618" s="213" t="s">
        <v>1116</v>
      </c>
      <c r="AI618" s="220" t="s">
        <v>1106</v>
      </c>
      <c r="AJ618" s="483" t="s">
        <v>1107</v>
      </c>
      <c r="AK618" s="484" t="s">
        <v>1108</v>
      </c>
      <c r="AL618" s="221" t="s">
        <v>1109</v>
      </c>
      <c r="AM618" s="221" t="s">
        <v>1175</v>
      </c>
      <c r="AN618" s="221" t="s">
        <v>1176</v>
      </c>
      <c r="AO618" s="13"/>
      <c r="AP618" s="13"/>
    </row>
    <row r="619" spans="1:42" ht="15.75">
      <c r="A619" s="187"/>
      <c r="B619" s="1275" t="s">
        <v>651</v>
      </c>
      <c r="C619" s="1288" t="s">
        <v>754</v>
      </c>
      <c r="D619" s="1267">
        <v>2350</v>
      </c>
      <c r="E619" s="688">
        <v>1</v>
      </c>
      <c r="F619" s="1268">
        <v>4</v>
      </c>
      <c r="G619" s="1289">
        <v>4444</v>
      </c>
      <c r="H619" s="1270">
        <f>G619*(1+$H$33)</f>
        <v>4755.08</v>
      </c>
      <c r="I619" s="1271">
        <f>H619-H619*$J$594</f>
        <v>2615.2939999999999</v>
      </c>
      <c r="J619" s="690">
        <f>G619-G619*$J$594</f>
        <v>2444.1999999999998</v>
      </c>
      <c r="K619" s="1029">
        <v>6085</v>
      </c>
      <c r="L619" s="478">
        <v>2906</v>
      </c>
      <c r="M619" s="855">
        <f t="shared" ref="M619:M624" si="222">L619/D619*100%</f>
        <v>1.2365957446808511</v>
      </c>
      <c r="N619" s="258">
        <f t="shared" ref="N619:N624" si="223">K619-(K619*$N$33)</f>
        <v>3346.75</v>
      </c>
      <c r="O619" s="437">
        <f t="shared" ref="O619:O630" si="224">((N619/J619)-1)*100%</f>
        <v>0.36926192619261933</v>
      </c>
      <c r="P619" s="438">
        <f>((N619/I619)-1)*100%</f>
        <v>0.27968404317067219</v>
      </c>
      <c r="Q619" s="336">
        <v>24.55</v>
      </c>
      <c r="R619" s="382">
        <f t="shared" ref="R619:R630" si="225">Q619*$R$33</f>
        <v>1154.6601500000002</v>
      </c>
      <c r="S619" s="918">
        <f t="shared" ref="S619:S630" si="226">((J619-R619)/J619)*100%</f>
        <v>0.52759178872432688</v>
      </c>
      <c r="T619" s="237">
        <f>((I619-R619)/I619)*100%</f>
        <v>0.55849699880778214</v>
      </c>
      <c r="U619" s="238">
        <v>19.72</v>
      </c>
      <c r="V619" s="239">
        <f>U619*$X$31</f>
        <v>23.663999999999998</v>
      </c>
      <c r="W619" s="239">
        <f>V619*$R$33</f>
        <v>1112.988912</v>
      </c>
      <c r="X619" s="240">
        <f>(ROUND(W619/(1-$AA$617),0))</f>
        <v>1919</v>
      </c>
      <c r="Y619" s="239">
        <f>Z619*(1-$X$591)</f>
        <v>1849.17</v>
      </c>
      <c r="Z619" s="240">
        <f>ROUND(X619/(1-$X$590),0)</f>
        <v>3489</v>
      </c>
      <c r="AA619" s="241">
        <f>((X619-W619)/X619)*100%</f>
        <v>0.42001620010422092</v>
      </c>
      <c r="AB619" s="241">
        <f>((Y619-W619)/Y619)*100%</f>
        <v>0.39811433670241242</v>
      </c>
      <c r="AC619" s="1198">
        <f>((N619/Y619)-1)*100%</f>
        <v>0.80986604801072914</v>
      </c>
      <c r="AD619" s="1004">
        <f>((N619*0.96-W619)/(N619*0.96))*100%</f>
        <v>0.65358528423097018</v>
      </c>
      <c r="AE619" s="238">
        <f>N619/$R$33</f>
        <v>71.157485169987027</v>
      </c>
      <c r="AF619" s="239">
        <f>(V619/(1-$AA$617))</f>
        <v>40.79999999999999</v>
      </c>
      <c r="AG619" s="1868">
        <v>74.180000000000007</v>
      </c>
      <c r="AH619" s="244">
        <f>((AF619-V619)/AF619)*100%</f>
        <v>0.41999999999999993</v>
      </c>
      <c r="AI619" s="77">
        <f>AJ619/$AJ$631</f>
        <v>0.22222222222222221</v>
      </c>
      <c r="AJ619" s="498">
        <v>34</v>
      </c>
      <c r="AK619" s="270">
        <f t="shared" ref="AK619:AK630" si="227">Q619*S619*AJ619</f>
        <v>440.38086604819568</v>
      </c>
      <c r="AL619" s="77">
        <f>AK619/$AK$631</f>
        <v>0.15685971683146824</v>
      </c>
      <c r="AM619" s="77">
        <f t="shared" ref="AM619:AM630" si="228">AJ619/$AJ$745</f>
        <v>5.7802485506876797E-4</v>
      </c>
      <c r="AN619" s="77">
        <f t="shared" ref="AN619:AN630" si="229">AK619/$AK$745</f>
        <v>1.725470036027817E-2</v>
      </c>
      <c r="AO619" s="13"/>
      <c r="AP619" s="13"/>
    </row>
    <row r="620" spans="1:42" ht="15.75">
      <c r="A620" s="187"/>
      <c r="B620" s="1275" t="s">
        <v>994</v>
      </c>
      <c r="C620" s="1288" t="s">
        <v>755</v>
      </c>
      <c r="D620" s="1267">
        <v>2985</v>
      </c>
      <c r="E620" s="688">
        <v>1</v>
      </c>
      <c r="F620" s="1268">
        <v>4</v>
      </c>
      <c r="G620" s="1290">
        <v>5780</v>
      </c>
      <c r="H620" s="1270">
        <f t="shared" ref="H620:H630" si="230">G620*(1+$H$33)</f>
        <v>6184.6</v>
      </c>
      <c r="I620" s="1271">
        <f>H620-H620*$J$594</f>
        <v>3401.53</v>
      </c>
      <c r="J620" s="690">
        <f>G620-G620*$J$594</f>
        <v>3179</v>
      </c>
      <c r="K620" s="1094">
        <v>7395</v>
      </c>
      <c r="L620" s="322">
        <v>3553</v>
      </c>
      <c r="M620" s="855">
        <f t="shared" si="222"/>
        <v>1.1902847571189279</v>
      </c>
      <c r="N620" s="258">
        <f t="shared" si="223"/>
        <v>4067.25</v>
      </c>
      <c r="O620" s="437">
        <f t="shared" si="224"/>
        <v>0.27941176470588225</v>
      </c>
      <c r="P620" s="438">
        <f>((N620/I620)-1)*100%</f>
        <v>0.19571192963166562</v>
      </c>
      <c r="Q620" s="331">
        <v>32.159999999999997</v>
      </c>
      <c r="R620" s="382">
        <f t="shared" si="225"/>
        <v>1512.5812799999999</v>
      </c>
      <c r="S620" s="918">
        <f t="shared" si="226"/>
        <v>0.52419588549858454</v>
      </c>
      <c r="T620" s="260">
        <f t="shared" ref="T620:T630" si="231">((I620-R620)/I620)*100%</f>
        <v>0.55532325747531264</v>
      </c>
      <c r="U620" s="261">
        <v>25.82</v>
      </c>
      <c r="V620" s="239">
        <f t="shared" ref="V620:V630" si="232">U620*$X$31</f>
        <v>30.983999999999998</v>
      </c>
      <c r="W620" s="239">
        <f t="shared" ref="W620:W630" si="233">V620*$R$33</f>
        <v>1457.2704719999999</v>
      </c>
      <c r="X620" s="240">
        <f>(ROUND(W620/(1-$AA$617),0))</f>
        <v>2513</v>
      </c>
      <c r="Y620" s="239">
        <f t="shared" ref="Y620:Y630" si="234">Z620*(1-$X$591)</f>
        <v>2421.5700000000002</v>
      </c>
      <c r="Z620" s="240">
        <f t="shared" ref="Z620:Z630" si="235">ROUND(X620/(1-$X$590),0)</f>
        <v>4569</v>
      </c>
      <c r="AA620" s="241">
        <f t="shared" ref="AA620:AA630" si="236">((X620-W620)/X620)*100%</f>
        <v>0.42010725348189421</v>
      </c>
      <c r="AB620" s="241">
        <f t="shared" ref="AB620:AB630" si="237">((Y620-W620)/Y620)*100%</f>
        <v>0.39821253484309771</v>
      </c>
      <c r="AC620" s="1198">
        <f t="shared" ref="AC620:AC630" si="238">((N620/Y620)-1)*100%</f>
        <v>0.67959216541334744</v>
      </c>
      <c r="AD620" s="1004">
        <f t="shared" ref="AD620:AD630" si="239">((N620*0.96-W620)/(N620*0.96))*100%</f>
        <v>0.62677728809392108</v>
      </c>
      <c r="AE620" s="238">
        <f t="shared" ref="AE620:AE630" si="240">N620/$R$33</f>
        <v>86.476516488423016</v>
      </c>
      <c r="AF620" s="239">
        <f>(V620/(1-$AA$617))</f>
        <v>53.420689655172403</v>
      </c>
      <c r="AG620" s="1868">
        <v>97.13</v>
      </c>
      <c r="AH620" s="244">
        <f t="shared" ref="AH620:AH630" si="241">((AF620-V620)/AF620)*100%</f>
        <v>0.41999999999999993</v>
      </c>
      <c r="AI620" s="77">
        <f t="shared" ref="AI620:AI630" si="242">AJ620/$AJ$631</f>
        <v>0.16339869281045752</v>
      </c>
      <c r="AJ620" s="498">
        <v>25</v>
      </c>
      <c r="AK620" s="270">
        <f t="shared" si="227"/>
        <v>421.45349194086191</v>
      </c>
      <c r="AL620" s="77">
        <f t="shared" ref="AL620:AL630" si="243">AK620/$AK$631</f>
        <v>0.15011795584289087</v>
      </c>
      <c r="AM620" s="77">
        <f t="shared" si="228"/>
        <v>4.2501827578585877E-4</v>
      </c>
      <c r="AN620" s="77">
        <f t="shared" si="229"/>
        <v>1.6513100999344107E-2</v>
      </c>
      <c r="AO620" s="13"/>
      <c r="AP620" s="13"/>
    </row>
    <row r="621" spans="1:42" ht="15.75">
      <c r="A621" s="187"/>
      <c r="B621" s="1275" t="s">
        <v>995</v>
      </c>
      <c r="C621" s="1288" t="s">
        <v>756</v>
      </c>
      <c r="D621" s="1267">
        <v>3620</v>
      </c>
      <c r="E621" s="688">
        <v>1</v>
      </c>
      <c r="F621" s="1268">
        <v>4</v>
      </c>
      <c r="G621" s="1290">
        <v>6091</v>
      </c>
      <c r="H621" s="1270">
        <f t="shared" si="230"/>
        <v>6517.3700000000008</v>
      </c>
      <c r="I621" s="1271">
        <f t="shared" ref="I621:I630" si="244">H621-H621*$J$594</f>
        <v>3584.5535000000004</v>
      </c>
      <c r="J621" s="690">
        <f t="shared" ref="J621:J630" si="245">G621-G621*$J$618</f>
        <v>3350.0499999999997</v>
      </c>
      <c r="K621" s="1094">
        <v>8184</v>
      </c>
      <c r="L621" s="322">
        <v>4195</v>
      </c>
      <c r="M621" s="855">
        <f t="shared" si="222"/>
        <v>1.1588397790055249</v>
      </c>
      <c r="N621" s="258">
        <f t="shared" si="223"/>
        <v>4501.2</v>
      </c>
      <c r="O621" s="437">
        <f t="shared" si="224"/>
        <v>0.34362173698900023</v>
      </c>
      <c r="P621" s="438">
        <f>AVERAGE(P619:P620)</f>
        <v>0.2376979864011689</v>
      </c>
      <c r="Q621" s="336">
        <v>39.72</v>
      </c>
      <c r="R621" s="382">
        <f t="shared" si="225"/>
        <v>1868.15076</v>
      </c>
      <c r="S621" s="918">
        <f t="shared" si="226"/>
        <v>0.44235137983015177</v>
      </c>
      <c r="T621" s="260">
        <f t="shared" si="231"/>
        <v>0.47883306526182418</v>
      </c>
      <c r="U621" s="261">
        <v>31.91</v>
      </c>
      <c r="V621" s="239">
        <f t="shared" si="232"/>
        <v>38.292000000000002</v>
      </c>
      <c r="W621" s="239">
        <f t="shared" si="233"/>
        <v>1800.9876360000001</v>
      </c>
      <c r="X621" s="240">
        <f>(ROUND(W621/(1-$AB$617),0))</f>
        <v>2905</v>
      </c>
      <c r="Y621" s="239">
        <f t="shared" si="234"/>
        <v>2799.46</v>
      </c>
      <c r="Z621" s="240">
        <f t="shared" si="235"/>
        <v>5282</v>
      </c>
      <c r="AA621" s="241">
        <f t="shared" si="236"/>
        <v>0.38003867951807224</v>
      </c>
      <c r="AB621" s="241">
        <f t="shared" si="237"/>
        <v>0.35666605845413041</v>
      </c>
      <c r="AC621" s="1198">
        <f t="shared" si="238"/>
        <v>0.6078815200074299</v>
      </c>
      <c r="AD621" s="1004">
        <f t="shared" si="239"/>
        <v>0.58321585632720163</v>
      </c>
      <c r="AE621" s="238">
        <f t="shared" si="240"/>
        <v>95.703017030595532</v>
      </c>
      <c r="AF621" s="239">
        <f>(V621/(1-$AB$617))</f>
        <v>61.761290322580649</v>
      </c>
      <c r="AG621" s="1868">
        <v>112.29</v>
      </c>
      <c r="AH621" s="244">
        <f t="shared" si="241"/>
        <v>0.38</v>
      </c>
      <c r="AI621" s="92">
        <f t="shared" si="242"/>
        <v>0.21568627450980393</v>
      </c>
      <c r="AJ621" s="86">
        <v>33</v>
      </c>
      <c r="AK621" s="297">
        <f t="shared" si="227"/>
        <v>579.81649462616963</v>
      </c>
      <c r="AL621" s="92">
        <f t="shared" si="243"/>
        <v>0.20652543780437965</v>
      </c>
      <c r="AM621" s="77">
        <f t="shared" si="228"/>
        <v>5.610241240373336E-4</v>
      </c>
      <c r="AN621" s="77">
        <f t="shared" si="229"/>
        <v>2.2717971306288512E-2</v>
      </c>
      <c r="AO621" s="13"/>
      <c r="AP621" s="13"/>
    </row>
    <row r="622" spans="1:42" ht="15.75">
      <c r="A622" s="187"/>
      <c r="B622" s="1275" t="s">
        <v>996</v>
      </c>
      <c r="C622" s="1288" t="s">
        <v>757</v>
      </c>
      <c r="D622" s="1267">
        <v>4255</v>
      </c>
      <c r="E622" s="688">
        <v>1</v>
      </c>
      <c r="F622" s="1268">
        <v>4</v>
      </c>
      <c r="G622" s="1290">
        <v>7401</v>
      </c>
      <c r="H622" s="1270">
        <f t="shared" si="230"/>
        <v>7919.0700000000006</v>
      </c>
      <c r="I622" s="1271">
        <f t="shared" si="244"/>
        <v>4355.4885000000004</v>
      </c>
      <c r="J622" s="690">
        <f t="shared" si="245"/>
        <v>4070.5499999999997</v>
      </c>
      <c r="K622" s="1094">
        <v>9470</v>
      </c>
      <c r="L622" s="322">
        <v>4837</v>
      </c>
      <c r="M622" s="855">
        <f t="shared" si="222"/>
        <v>1.1367802585193889</v>
      </c>
      <c r="N622" s="258">
        <f t="shared" si="223"/>
        <v>5208.5</v>
      </c>
      <c r="O622" s="437">
        <f t="shared" si="224"/>
        <v>0.27955681664639931</v>
      </c>
      <c r="P622" s="438">
        <f t="shared" ref="P622:P630" si="246">AVERAGE(P620:P621)</f>
        <v>0.21670495801641726</v>
      </c>
      <c r="Q622" s="331">
        <v>47.33</v>
      </c>
      <c r="R622" s="382">
        <f t="shared" si="225"/>
        <v>2226.0718900000002</v>
      </c>
      <c r="S622" s="918">
        <f t="shared" si="226"/>
        <v>0.45312749137094488</v>
      </c>
      <c r="T622" s="260">
        <f t="shared" si="231"/>
        <v>0.48890419754293923</v>
      </c>
      <c r="U622" s="261">
        <v>38.01</v>
      </c>
      <c r="V622" s="239">
        <f t="shared" si="232"/>
        <v>45.611999999999995</v>
      </c>
      <c r="W622" s="239">
        <f t="shared" si="233"/>
        <v>2145.2691959999997</v>
      </c>
      <c r="X622" s="240">
        <f>(ROUND(W622/(1-$AB$617),0))</f>
        <v>3460</v>
      </c>
      <c r="Y622" s="239">
        <f t="shared" si="234"/>
        <v>3334.23</v>
      </c>
      <c r="Z622" s="240">
        <f t="shared" si="235"/>
        <v>6291</v>
      </c>
      <c r="AA622" s="241">
        <f t="shared" si="236"/>
        <v>0.37998000115606945</v>
      </c>
      <c r="AB622" s="241">
        <f t="shared" si="237"/>
        <v>0.35659231786649398</v>
      </c>
      <c r="AC622" s="1198">
        <f t="shared" si="238"/>
        <v>0.56212978708727346</v>
      </c>
      <c r="AD622" s="1004">
        <f t="shared" si="239"/>
        <v>0.57095989008351733</v>
      </c>
      <c r="AE622" s="238">
        <f t="shared" si="240"/>
        <v>110.74139434014415</v>
      </c>
      <c r="AF622" s="239">
        <f>(V622/(1-$AB$617))</f>
        <v>73.567741935483866</v>
      </c>
      <c r="AG622" s="1868">
        <v>133.76</v>
      </c>
      <c r="AH622" s="244">
        <f t="shared" si="241"/>
        <v>0.38</v>
      </c>
      <c r="AI622" s="77">
        <f t="shared" si="242"/>
        <v>0.12418300653594772</v>
      </c>
      <c r="AJ622" s="498">
        <v>19</v>
      </c>
      <c r="AK622" s="270">
        <f t="shared" si="227"/>
        <v>407.48395916514954</v>
      </c>
      <c r="AL622" s="77">
        <f t="shared" si="243"/>
        <v>0.14514213349363753</v>
      </c>
      <c r="AM622" s="77">
        <f t="shared" si="228"/>
        <v>3.2301388959725267E-4</v>
      </c>
      <c r="AN622" s="77">
        <f t="shared" si="229"/>
        <v>1.5965756369271958E-2</v>
      </c>
      <c r="AO622" s="13"/>
      <c r="AP622" s="13"/>
    </row>
    <row r="623" spans="1:42" ht="15.75">
      <c r="A623" s="187"/>
      <c r="B623" s="1275" t="s">
        <v>997</v>
      </c>
      <c r="C623" s="1288" t="s">
        <v>758</v>
      </c>
      <c r="D623" s="1267">
        <v>4890</v>
      </c>
      <c r="E623" s="688">
        <v>1</v>
      </c>
      <c r="F623" s="1268">
        <v>4</v>
      </c>
      <c r="G623" s="1290">
        <v>8206</v>
      </c>
      <c r="H623" s="1270">
        <f t="shared" si="230"/>
        <v>8780.42</v>
      </c>
      <c r="I623" s="1271">
        <f t="shared" si="244"/>
        <v>4829.2309999999998</v>
      </c>
      <c r="J623" s="690">
        <f t="shared" si="245"/>
        <v>4513.2999999999993</v>
      </c>
      <c r="K623" s="1094">
        <v>10399</v>
      </c>
      <c r="L623" s="322">
        <v>5479</v>
      </c>
      <c r="M623" s="855">
        <f t="shared" si="222"/>
        <v>1.1204498977505113</v>
      </c>
      <c r="N623" s="258">
        <f t="shared" si="223"/>
        <v>5719.45</v>
      </c>
      <c r="O623" s="437">
        <f t="shared" si="224"/>
        <v>0.26724348038020973</v>
      </c>
      <c r="P623" s="438">
        <f t="shared" si="246"/>
        <v>0.22720147220879308</v>
      </c>
      <c r="Q623" s="331">
        <v>54.93</v>
      </c>
      <c r="R623" s="382">
        <f t="shared" si="225"/>
        <v>2583.5226900000002</v>
      </c>
      <c r="S623" s="918">
        <f t="shared" si="226"/>
        <v>0.42757567855006301</v>
      </c>
      <c r="T623" s="696">
        <f t="shared" si="231"/>
        <v>0.46502399864491878</v>
      </c>
      <c r="U623" s="238">
        <v>44.11</v>
      </c>
      <c r="V623" s="239">
        <f t="shared" si="232"/>
        <v>52.931999999999995</v>
      </c>
      <c r="W623" s="239">
        <f t="shared" si="233"/>
        <v>2489.5507559999996</v>
      </c>
      <c r="X623" s="240">
        <f>(ROUND(W623/(1-$AB$617),0))</f>
        <v>4015</v>
      </c>
      <c r="Y623" s="239">
        <f t="shared" si="234"/>
        <v>3869</v>
      </c>
      <c r="Z623" s="240">
        <f t="shared" si="235"/>
        <v>7300</v>
      </c>
      <c r="AA623" s="241">
        <f t="shared" si="236"/>
        <v>0.37993754520547957</v>
      </c>
      <c r="AB623" s="241">
        <f t="shared" si="237"/>
        <v>0.3565389620056863</v>
      </c>
      <c r="AC623" s="1198">
        <f t="shared" si="238"/>
        <v>0.4782760403204962</v>
      </c>
      <c r="AD623" s="1004">
        <f t="shared" si="239"/>
        <v>0.54658541686700646</v>
      </c>
      <c r="AE623" s="238">
        <f t="shared" si="240"/>
        <v>121.60504326749303</v>
      </c>
      <c r="AF623" s="239">
        <f>(V623/(1-$AB$617))</f>
        <v>85.374193548387083</v>
      </c>
      <c r="AG623" s="1868">
        <v>155.22999999999999</v>
      </c>
      <c r="AH623" s="244">
        <f t="shared" si="241"/>
        <v>0.37999999999999995</v>
      </c>
      <c r="AI623" s="77">
        <f t="shared" si="242"/>
        <v>0.15032679738562091</v>
      </c>
      <c r="AJ623" s="498">
        <v>23</v>
      </c>
      <c r="AK623" s="270">
        <f t="shared" si="227"/>
        <v>540.19483652336407</v>
      </c>
      <c r="AL623" s="77">
        <f t="shared" si="243"/>
        <v>0.19241255836397467</v>
      </c>
      <c r="AM623" s="77">
        <f t="shared" si="228"/>
        <v>3.9101681372299008E-4</v>
      </c>
      <c r="AN623" s="77">
        <f t="shared" si="229"/>
        <v>2.1165542735819064E-2</v>
      </c>
      <c r="AO623" s="13"/>
      <c r="AP623" s="13"/>
    </row>
    <row r="624" spans="1:42" ht="16.5" thickBot="1">
      <c r="A624" s="187"/>
      <c r="B624" s="1275" t="s">
        <v>998</v>
      </c>
      <c r="C624" s="1288" t="s">
        <v>759</v>
      </c>
      <c r="D624" s="1267">
        <v>5525</v>
      </c>
      <c r="E624" s="688">
        <v>1</v>
      </c>
      <c r="F624" s="1268">
        <v>4</v>
      </c>
      <c r="G624" s="1290">
        <v>8475</v>
      </c>
      <c r="H624" s="1270">
        <f t="shared" si="230"/>
        <v>9068.25</v>
      </c>
      <c r="I624" s="1271">
        <f t="shared" si="244"/>
        <v>4987.5375000000004</v>
      </c>
      <c r="J624" s="690">
        <f t="shared" si="245"/>
        <v>4661.25</v>
      </c>
      <c r="K624" s="900">
        <v>11728</v>
      </c>
      <c r="L624" s="341">
        <v>6121</v>
      </c>
      <c r="M624" s="1291">
        <f t="shared" si="222"/>
        <v>1.1078733031674208</v>
      </c>
      <c r="N624" s="258">
        <f t="shared" si="223"/>
        <v>6450.4</v>
      </c>
      <c r="O624" s="448">
        <f t="shared" si="224"/>
        <v>0.38383480825958705</v>
      </c>
      <c r="P624" s="438">
        <f t="shared" si="246"/>
        <v>0.22195321511260518</v>
      </c>
      <c r="Q624" s="331">
        <v>62.56</v>
      </c>
      <c r="R624" s="382">
        <f t="shared" si="225"/>
        <v>2942.3844800000002</v>
      </c>
      <c r="S624" s="918">
        <f t="shared" si="226"/>
        <v>0.36875634647358535</v>
      </c>
      <c r="T624" s="696">
        <f t="shared" si="231"/>
        <v>0.41005266025568732</v>
      </c>
      <c r="U624" s="261">
        <v>50.21</v>
      </c>
      <c r="V624" s="239">
        <f t="shared" si="232"/>
        <v>60.251999999999995</v>
      </c>
      <c r="W624" s="239">
        <f t="shared" si="233"/>
        <v>2833.832316</v>
      </c>
      <c r="X624" s="240">
        <f>(ROUND(W624/(1-$AB$617),0))</f>
        <v>4571</v>
      </c>
      <c r="Y624" s="239">
        <f t="shared" si="234"/>
        <v>4404.83</v>
      </c>
      <c r="Z624" s="240">
        <f t="shared" si="235"/>
        <v>8311</v>
      </c>
      <c r="AA624" s="241">
        <f t="shared" si="236"/>
        <v>0.38004105972434915</v>
      </c>
      <c r="AB624" s="241">
        <f t="shared" si="237"/>
        <v>0.35665341999577738</v>
      </c>
      <c r="AC624" s="1198">
        <f t="shared" si="238"/>
        <v>0.46439249641870406</v>
      </c>
      <c r="AD624" s="1004">
        <f t="shared" si="239"/>
        <v>0.54236812251953359</v>
      </c>
      <c r="AE624" s="238">
        <f t="shared" si="240"/>
        <v>137.14625900963154</v>
      </c>
      <c r="AF624" s="239">
        <f>(V624/(1-$AB$617))</f>
        <v>97.180645161290315</v>
      </c>
      <c r="AG624" s="1868">
        <v>176.69</v>
      </c>
      <c r="AH624" s="244">
        <f t="shared" si="241"/>
        <v>0.38</v>
      </c>
      <c r="AI624" s="77">
        <f t="shared" si="242"/>
        <v>0.1111111111111111</v>
      </c>
      <c r="AJ624" s="498">
        <v>17</v>
      </c>
      <c r="AK624" s="270">
        <f t="shared" si="227"/>
        <v>392.1797496015875</v>
      </c>
      <c r="AL624" s="77">
        <f t="shared" si="243"/>
        <v>0.13969091123683977</v>
      </c>
      <c r="AM624" s="77">
        <f t="shared" si="228"/>
        <v>2.8901242753438398E-4</v>
      </c>
      <c r="AN624" s="77">
        <f t="shared" si="229"/>
        <v>1.5366117350801825E-2</v>
      </c>
      <c r="AO624" s="13"/>
      <c r="AP624" s="13"/>
    </row>
    <row r="625" spans="1:42" ht="15.75" thickBot="1">
      <c r="A625" s="187"/>
      <c r="B625" s="1275" t="s">
        <v>999</v>
      </c>
      <c r="C625" s="1288" t="s">
        <v>1000</v>
      </c>
      <c r="D625" s="1267">
        <v>2540</v>
      </c>
      <c r="E625" s="688">
        <v>1</v>
      </c>
      <c r="F625" s="1268">
        <v>4</v>
      </c>
      <c r="G625" s="1290">
        <v>4444</v>
      </c>
      <c r="H625" s="1270">
        <f t="shared" si="230"/>
        <v>4755.08</v>
      </c>
      <c r="I625" s="1271">
        <f t="shared" si="244"/>
        <v>2615.2939999999999</v>
      </c>
      <c r="J625" s="690">
        <f t="shared" si="245"/>
        <v>2444.1999999999998</v>
      </c>
      <c r="K625" s="1229"/>
      <c r="L625" s="1230"/>
      <c r="M625" s="1292"/>
      <c r="N625" s="1293"/>
      <c r="O625" s="1233"/>
      <c r="P625" s="1233"/>
      <c r="Q625" s="331">
        <v>26.52</v>
      </c>
      <c r="R625" s="382">
        <f t="shared" si="225"/>
        <v>1247.3151600000001</v>
      </c>
      <c r="S625" s="918">
        <f t="shared" si="226"/>
        <v>0.48968367564029119</v>
      </c>
      <c r="T625" s="696">
        <f t="shared" si="231"/>
        <v>0.52306885573858997</v>
      </c>
      <c r="U625" s="261">
        <v>21.28</v>
      </c>
      <c r="V625" s="239">
        <f t="shared" si="232"/>
        <v>25.536000000000001</v>
      </c>
      <c r="W625" s="239">
        <f t="shared" si="233"/>
        <v>1201.0346880000002</v>
      </c>
      <c r="X625" s="240">
        <f>(ROUND(W625/(1-$AA$617),0))</f>
        <v>2071</v>
      </c>
      <c r="Y625" s="239">
        <f t="shared" si="234"/>
        <v>1995.45</v>
      </c>
      <c r="Z625" s="240">
        <f t="shared" si="235"/>
        <v>3765</v>
      </c>
      <c r="AA625" s="241">
        <f t="shared" si="236"/>
        <v>0.42007016513761458</v>
      </c>
      <c r="AB625" s="241">
        <f t="shared" si="237"/>
        <v>0.39811336390287899</v>
      </c>
      <c r="AC625" s="1198"/>
      <c r="AD625" s="1004"/>
      <c r="AE625" s="238">
        <f t="shared" si="240"/>
        <v>0</v>
      </c>
      <c r="AF625" s="239">
        <f>(V625/(1-$AA$617))</f>
        <v>44.027586206896551</v>
      </c>
      <c r="AG625" s="1868">
        <v>80.05</v>
      </c>
      <c r="AH625" s="244">
        <f t="shared" si="241"/>
        <v>0.42</v>
      </c>
      <c r="AI625" s="77">
        <f t="shared" si="242"/>
        <v>1.3071895424836602E-2</v>
      </c>
      <c r="AJ625" s="498">
        <v>2</v>
      </c>
      <c r="AK625" s="270">
        <f t="shared" si="227"/>
        <v>25.972822155961044</v>
      </c>
      <c r="AL625" s="77">
        <f t="shared" si="243"/>
        <v>9.2512864268091549E-3</v>
      </c>
      <c r="AM625" s="77">
        <f t="shared" si="228"/>
        <v>3.4001462062868702E-5</v>
      </c>
      <c r="AN625" s="77">
        <f t="shared" si="229"/>
        <v>1.0176492630877736E-3</v>
      </c>
      <c r="AO625" s="13"/>
      <c r="AP625" s="13"/>
    </row>
    <row r="626" spans="1:42" ht="15.75">
      <c r="A626" s="187"/>
      <c r="B626" s="1275" t="s">
        <v>1001</v>
      </c>
      <c r="C626" s="1288" t="s">
        <v>1002</v>
      </c>
      <c r="D626" s="1267">
        <v>3215</v>
      </c>
      <c r="E626" s="688">
        <v>1</v>
      </c>
      <c r="F626" s="1268">
        <v>4</v>
      </c>
      <c r="G626" s="1290">
        <v>5780</v>
      </c>
      <c r="H626" s="1270">
        <f t="shared" si="230"/>
        <v>6184.6</v>
      </c>
      <c r="I626" s="1271">
        <f t="shared" si="244"/>
        <v>3401.53</v>
      </c>
      <c r="J626" s="1272">
        <f t="shared" si="245"/>
        <v>3179</v>
      </c>
      <c r="K626" s="1294">
        <v>8030</v>
      </c>
      <c r="L626" s="808">
        <v>3323</v>
      </c>
      <c r="M626" s="878">
        <f>L626/D626*100%</f>
        <v>1.0335925349922239</v>
      </c>
      <c r="N626" s="235">
        <f>K626-(K626*$N$33)</f>
        <v>4416.5</v>
      </c>
      <c r="O626" s="1295">
        <f t="shared" si="224"/>
        <v>0.38927335640138416</v>
      </c>
      <c r="P626" s="438">
        <f t="shared" si="246"/>
        <v>0.22195321511260518</v>
      </c>
      <c r="Q626" s="331">
        <v>34.6</v>
      </c>
      <c r="R626" s="382">
        <f t="shared" si="225"/>
        <v>1627.3418000000001</v>
      </c>
      <c r="S626" s="918">
        <f t="shared" si="226"/>
        <v>0.48809631959735761</v>
      </c>
      <c r="T626" s="696">
        <f t="shared" si="231"/>
        <v>0.52158534541809121</v>
      </c>
      <c r="U626" s="261">
        <v>27.8</v>
      </c>
      <c r="V626" s="239">
        <f t="shared" si="232"/>
        <v>33.36</v>
      </c>
      <c r="W626" s="239">
        <f t="shared" si="233"/>
        <v>1569.02088</v>
      </c>
      <c r="X626" s="240">
        <f>(ROUND(W626/(1-$AA$617),0))</f>
        <v>2705</v>
      </c>
      <c r="Y626" s="239">
        <f t="shared" si="234"/>
        <v>2606.54</v>
      </c>
      <c r="Z626" s="240">
        <f t="shared" si="235"/>
        <v>4918</v>
      </c>
      <c r="AA626" s="241">
        <f t="shared" si="236"/>
        <v>0.4199553123844732</v>
      </c>
      <c r="AB626" s="241">
        <f t="shared" si="237"/>
        <v>0.39804458017141497</v>
      </c>
      <c r="AC626" s="1198">
        <f t="shared" si="238"/>
        <v>0.69439179908998128</v>
      </c>
      <c r="AD626" s="1004">
        <f t="shared" si="239"/>
        <v>0.62993394090343036</v>
      </c>
      <c r="AE626" s="238">
        <f t="shared" si="240"/>
        <v>93.902153806901538</v>
      </c>
      <c r="AF626" s="239">
        <f>(V626/(1-$AA$617))</f>
        <v>57.517241379310335</v>
      </c>
      <c r="AG626" s="1868">
        <v>104.58</v>
      </c>
      <c r="AH626" s="244">
        <f t="shared" si="241"/>
        <v>0.41999999999999993</v>
      </c>
      <c r="AI626" s="77">
        <f t="shared" si="242"/>
        <v>0</v>
      </c>
      <c r="AJ626" s="498">
        <v>0</v>
      </c>
      <c r="AK626" s="270">
        <f t="shared" si="227"/>
        <v>0</v>
      </c>
      <c r="AL626" s="77">
        <f t="shared" si="243"/>
        <v>0</v>
      </c>
      <c r="AM626" s="77">
        <f t="shared" si="228"/>
        <v>0</v>
      </c>
      <c r="AN626" s="77">
        <f t="shared" si="229"/>
        <v>0</v>
      </c>
      <c r="AO626" s="13"/>
      <c r="AP626" s="13"/>
    </row>
    <row r="627" spans="1:42" ht="15.75">
      <c r="A627" s="187"/>
      <c r="B627" s="1275" t="s">
        <v>1003</v>
      </c>
      <c r="C627" s="1288" t="s">
        <v>1004</v>
      </c>
      <c r="D627" s="1267">
        <v>3890</v>
      </c>
      <c r="E627" s="688">
        <v>1</v>
      </c>
      <c r="F627" s="1268">
        <v>4</v>
      </c>
      <c r="G627" s="1290">
        <v>6091</v>
      </c>
      <c r="H627" s="1270">
        <f t="shared" si="230"/>
        <v>6517.3700000000008</v>
      </c>
      <c r="I627" s="1271">
        <f t="shared" si="244"/>
        <v>3584.5535000000004</v>
      </c>
      <c r="J627" s="1272">
        <f t="shared" si="245"/>
        <v>3350.0499999999997</v>
      </c>
      <c r="K627" s="1296">
        <v>9294</v>
      </c>
      <c r="L627" s="322">
        <v>3950</v>
      </c>
      <c r="M627" s="335">
        <f>L627/D627*100%</f>
        <v>1.0154241645244215</v>
      </c>
      <c r="N627" s="382">
        <f>K627-(K627*$N$33)</f>
        <v>5111.7</v>
      </c>
      <c r="O627" s="329">
        <f t="shared" si="224"/>
        <v>0.52585782301756701</v>
      </c>
      <c r="P627" s="438">
        <f t="shared" si="246"/>
        <v>0.22195321511260518</v>
      </c>
      <c r="Q627" s="336">
        <v>42.75</v>
      </c>
      <c r="R627" s="382">
        <f t="shared" si="225"/>
        <v>2010.66075</v>
      </c>
      <c r="S627" s="918">
        <f t="shared" si="226"/>
        <v>0.39981171922807118</v>
      </c>
      <c r="T627" s="696">
        <f t="shared" si="231"/>
        <v>0.43907637311034703</v>
      </c>
      <c r="U627" s="238">
        <v>34.33</v>
      </c>
      <c r="V627" s="239">
        <f t="shared" si="232"/>
        <v>41.195999999999998</v>
      </c>
      <c r="W627" s="239">
        <f t="shared" si="233"/>
        <v>1937.5714679999999</v>
      </c>
      <c r="X627" s="240">
        <f>(ROUND(W627/(1-$AB$617),0))</f>
        <v>3125</v>
      </c>
      <c r="Y627" s="239">
        <f t="shared" si="234"/>
        <v>3011.46</v>
      </c>
      <c r="Z627" s="240">
        <f t="shared" si="235"/>
        <v>5682</v>
      </c>
      <c r="AA627" s="241">
        <f t="shared" si="236"/>
        <v>0.37997713024000002</v>
      </c>
      <c r="AB627" s="241">
        <f t="shared" si="237"/>
        <v>0.35660062959494737</v>
      </c>
      <c r="AC627" s="1198">
        <f t="shared" si="238"/>
        <v>0.69741587137136141</v>
      </c>
      <c r="AD627" s="1004">
        <f t="shared" si="239"/>
        <v>0.60516000303225925</v>
      </c>
      <c r="AE627" s="238">
        <f t="shared" si="240"/>
        <v>108.68326494163672</v>
      </c>
      <c r="AF627" s="239">
        <f>(V627/(1-$AB$617))</f>
        <v>66.445161290322574</v>
      </c>
      <c r="AG627" s="1868">
        <v>120.81</v>
      </c>
      <c r="AH627" s="244">
        <f t="shared" si="241"/>
        <v>0.37999999999999995</v>
      </c>
      <c r="AI627" s="77">
        <f t="shared" si="242"/>
        <v>0</v>
      </c>
      <c r="AJ627" s="498">
        <v>0</v>
      </c>
      <c r="AK627" s="270">
        <f t="shared" si="227"/>
        <v>0</v>
      </c>
      <c r="AL627" s="77">
        <f t="shared" si="243"/>
        <v>0</v>
      </c>
      <c r="AM627" s="77">
        <f t="shared" si="228"/>
        <v>0</v>
      </c>
      <c r="AN627" s="77">
        <f t="shared" si="229"/>
        <v>0</v>
      </c>
      <c r="AO627" s="13"/>
      <c r="AP627" s="13"/>
    </row>
    <row r="628" spans="1:42" ht="15.75">
      <c r="A628" s="187"/>
      <c r="B628" s="1275" t="s">
        <v>1005</v>
      </c>
      <c r="C628" s="1288" t="s">
        <v>1006</v>
      </c>
      <c r="D628" s="1267">
        <v>4565</v>
      </c>
      <c r="E628" s="688">
        <v>1</v>
      </c>
      <c r="F628" s="1268">
        <v>4</v>
      </c>
      <c r="G628" s="1290">
        <v>7401</v>
      </c>
      <c r="H628" s="1270">
        <f t="shared" si="230"/>
        <v>7919.0700000000006</v>
      </c>
      <c r="I628" s="1271">
        <f t="shared" si="244"/>
        <v>4355.4885000000004</v>
      </c>
      <c r="J628" s="1272">
        <f t="shared" si="245"/>
        <v>4070.5499999999997</v>
      </c>
      <c r="K628" s="1296">
        <v>10562</v>
      </c>
      <c r="L628" s="322">
        <v>4597</v>
      </c>
      <c r="M628" s="335">
        <f>L628/D628*100%</f>
        <v>1.0070098576122672</v>
      </c>
      <c r="N628" s="382">
        <f>K628-(K628*$N$33)</f>
        <v>5809.0999999999995</v>
      </c>
      <c r="O628" s="329">
        <f t="shared" si="224"/>
        <v>0.42710444534522352</v>
      </c>
      <c r="P628" s="438">
        <f t="shared" si="246"/>
        <v>0.22195321511260518</v>
      </c>
      <c r="Q628" s="331">
        <v>50.87</v>
      </c>
      <c r="R628" s="382">
        <f t="shared" si="225"/>
        <v>2392.56871</v>
      </c>
      <c r="S628" s="918">
        <f t="shared" si="226"/>
        <v>0.41222470919163257</v>
      </c>
      <c r="T628" s="696">
        <f t="shared" si="231"/>
        <v>0.45067729830993702</v>
      </c>
      <c r="U628" s="238">
        <v>40.85</v>
      </c>
      <c r="V628" s="239">
        <f t="shared" si="232"/>
        <v>49.02</v>
      </c>
      <c r="W628" s="239">
        <f t="shared" si="233"/>
        <v>2305.5576600000004</v>
      </c>
      <c r="X628" s="240">
        <f>(ROUND(W628/(1-$AB$617),0))</f>
        <v>3719</v>
      </c>
      <c r="Y628" s="239">
        <f t="shared" si="234"/>
        <v>3583.86</v>
      </c>
      <c r="Z628" s="240">
        <f t="shared" si="235"/>
        <v>6762</v>
      </c>
      <c r="AA628" s="241">
        <f t="shared" si="236"/>
        <v>0.38005978488841075</v>
      </c>
      <c r="AB628" s="241">
        <f t="shared" si="237"/>
        <v>0.3566831126215867</v>
      </c>
      <c r="AC628" s="1198">
        <f t="shared" si="238"/>
        <v>0.62090595056726516</v>
      </c>
      <c r="AD628" s="1004">
        <f t="shared" si="239"/>
        <v>0.58657579272176397</v>
      </c>
      <c r="AE628" s="238">
        <f t="shared" si="240"/>
        <v>123.51115174451979</v>
      </c>
      <c r="AF628" s="239">
        <f>(V628/(1-$AB$617))</f>
        <v>79.06451612903227</v>
      </c>
      <c r="AG628" s="1868">
        <v>143.75</v>
      </c>
      <c r="AH628" s="244">
        <f t="shared" si="241"/>
        <v>0.38000000000000006</v>
      </c>
      <c r="AI628" s="77">
        <f t="shared" si="242"/>
        <v>0</v>
      </c>
      <c r="AJ628" s="498">
        <v>0</v>
      </c>
      <c r="AK628" s="270">
        <f t="shared" si="227"/>
        <v>0</v>
      </c>
      <c r="AL628" s="77">
        <f t="shared" si="243"/>
        <v>0</v>
      </c>
      <c r="AM628" s="77">
        <f t="shared" si="228"/>
        <v>0</v>
      </c>
      <c r="AN628" s="77">
        <f t="shared" si="229"/>
        <v>0</v>
      </c>
      <c r="AO628" s="13"/>
      <c r="AP628" s="13"/>
    </row>
    <row r="629" spans="1:42" ht="15.75">
      <c r="A629" s="187"/>
      <c r="B629" s="1275" t="s">
        <v>1007</v>
      </c>
      <c r="C629" s="1288" t="s">
        <v>1008</v>
      </c>
      <c r="D629" s="1267">
        <v>5240</v>
      </c>
      <c r="E629" s="688">
        <v>1</v>
      </c>
      <c r="F629" s="1268">
        <v>4</v>
      </c>
      <c r="G629" s="1290">
        <v>8206</v>
      </c>
      <c r="H629" s="1270">
        <f t="shared" si="230"/>
        <v>8780.42</v>
      </c>
      <c r="I629" s="1271">
        <f t="shared" si="244"/>
        <v>4829.2309999999998</v>
      </c>
      <c r="J629" s="1272">
        <f t="shared" si="245"/>
        <v>4513.2999999999993</v>
      </c>
      <c r="K629" s="1296">
        <v>11826</v>
      </c>
      <c r="L629" s="322">
        <v>5373</v>
      </c>
      <c r="M629" s="335">
        <f>L629/D629*100%</f>
        <v>1.0253816793893129</v>
      </c>
      <c r="N629" s="382">
        <f>K629-(K629*$N$33)</f>
        <v>6504.3</v>
      </c>
      <c r="O629" s="329">
        <f t="shared" si="224"/>
        <v>0.44114062880818938</v>
      </c>
      <c r="P629" s="438">
        <f t="shared" si="246"/>
        <v>0.22195321511260518</v>
      </c>
      <c r="Q629" s="331">
        <v>59.03</v>
      </c>
      <c r="R629" s="382">
        <f t="shared" si="225"/>
        <v>2776.35799</v>
      </c>
      <c r="S629" s="918">
        <f t="shared" si="226"/>
        <v>0.38484966875678539</v>
      </c>
      <c r="T629" s="696">
        <f t="shared" si="231"/>
        <v>0.42509314837082757</v>
      </c>
      <c r="U629" s="261">
        <v>47.38</v>
      </c>
      <c r="V629" s="239">
        <f t="shared" si="232"/>
        <v>56.856000000000002</v>
      </c>
      <c r="W629" s="239">
        <f t="shared" si="233"/>
        <v>2674.108248</v>
      </c>
      <c r="X629" s="240">
        <f>(ROUND(W629/(1-$AB$617),0))</f>
        <v>4313</v>
      </c>
      <c r="Y629" s="239">
        <f t="shared" si="234"/>
        <v>4156.26</v>
      </c>
      <c r="Z629" s="240">
        <f t="shared" si="235"/>
        <v>7842</v>
      </c>
      <c r="AA629" s="241">
        <f t="shared" si="236"/>
        <v>0.37998881335497331</v>
      </c>
      <c r="AB629" s="241">
        <f t="shared" si="237"/>
        <v>0.35660708232882449</v>
      </c>
      <c r="AC629" s="1198">
        <f t="shared" si="238"/>
        <v>0.56494059563164956</v>
      </c>
      <c r="AD629" s="1004">
        <f t="shared" si="239"/>
        <v>0.57174032178712542</v>
      </c>
      <c r="AE629" s="238">
        <f t="shared" si="240"/>
        <v>138.29226287925499</v>
      </c>
      <c r="AF629" s="239">
        <f>(V629/(1-$AB$617))</f>
        <v>91.703225806451613</v>
      </c>
      <c r="AG629" s="1868">
        <v>166.73</v>
      </c>
      <c r="AH629" s="244">
        <f t="shared" si="241"/>
        <v>0.38</v>
      </c>
      <c r="AI629" s="77">
        <f t="shared" si="242"/>
        <v>0</v>
      </c>
      <c r="AJ629" s="498">
        <v>0</v>
      </c>
      <c r="AK629" s="270">
        <f t="shared" si="227"/>
        <v>0</v>
      </c>
      <c r="AL629" s="77">
        <f t="shared" si="243"/>
        <v>0</v>
      </c>
      <c r="AM629" s="77">
        <f t="shared" si="228"/>
        <v>0</v>
      </c>
      <c r="AN629" s="77">
        <f t="shared" si="229"/>
        <v>0</v>
      </c>
      <c r="AO629" s="13"/>
      <c r="AP629" s="13"/>
    </row>
    <row r="630" spans="1:42" ht="16.5" thickBot="1">
      <c r="A630" s="187"/>
      <c r="B630" s="1277" t="s">
        <v>1009</v>
      </c>
      <c r="C630" s="1297" t="s">
        <v>1010</v>
      </c>
      <c r="D630" s="1279">
        <v>5915</v>
      </c>
      <c r="E630" s="1280">
        <v>1</v>
      </c>
      <c r="F630" s="1281">
        <v>4</v>
      </c>
      <c r="G630" s="1298">
        <v>8475</v>
      </c>
      <c r="H630" s="1270">
        <f t="shared" si="230"/>
        <v>9068.25</v>
      </c>
      <c r="I630" s="1271">
        <f t="shared" si="244"/>
        <v>4987.5375000000004</v>
      </c>
      <c r="J630" s="1272">
        <f t="shared" si="245"/>
        <v>4661.25</v>
      </c>
      <c r="K630" s="1299">
        <v>13094</v>
      </c>
      <c r="L630" s="341">
        <v>6037</v>
      </c>
      <c r="M630" s="342">
        <f>L630/D630*100%</f>
        <v>1.020625528317836</v>
      </c>
      <c r="N630" s="390">
        <f>K630-(K630*$N$33)</f>
        <v>7201.7</v>
      </c>
      <c r="O630" s="363">
        <f t="shared" si="224"/>
        <v>0.54501474926253679</v>
      </c>
      <c r="P630" s="482">
        <f t="shared" si="246"/>
        <v>0.22195321511260518</v>
      </c>
      <c r="Q630" s="331">
        <v>67.16</v>
      </c>
      <c r="R630" s="382">
        <f t="shared" si="225"/>
        <v>3158.7362800000001</v>
      </c>
      <c r="S630" s="918">
        <f t="shared" si="226"/>
        <v>0.32234137194958434</v>
      </c>
      <c r="T630" s="696">
        <f t="shared" si="231"/>
        <v>0.36667417939213492</v>
      </c>
      <c r="U630" s="261">
        <v>53.9</v>
      </c>
      <c r="V630" s="239">
        <f t="shared" si="232"/>
        <v>64.679999999999993</v>
      </c>
      <c r="W630" s="239">
        <f t="shared" si="233"/>
        <v>3042.0944399999998</v>
      </c>
      <c r="X630" s="240">
        <f>(ROUND(W630/(1-$AB$617),0))</f>
        <v>4907</v>
      </c>
      <c r="Y630" s="239">
        <f t="shared" si="234"/>
        <v>4728.66</v>
      </c>
      <c r="Z630" s="240">
        <f t="shared" si="235"/>
        <v>8922</v>
      </c>
      <c r="AA630" s="241">
        <f t="shared" si="236"/>
        <v>0.38005004279600574</v>
      </c>
      <c r="AB630" s="241">
        <f t="shared" si="237"/>
        <v>0.35666881526690436</v>
      </c>
      <c r="AC630" s="1198">
        <f t="shared" si="238"/>
        <v>0.52298959959058178</v>
      </c>
      <c r="AD630" s="1004">
        <f t="shared" si="239"/>
        <v>0.55998606231861925</v>
      </c>
      <c r="AE630" s="238">
        <f t="shared" si="240"/>
        <v>153.12014968213808</v>
      </c>
      <c r="AF630" s="239">
        <f>(V630/(1-$AB$617))</f>
        <v>104.32258064516128</v>
      </c>
      <c r="AG630" s="1868">
        <v>189.69</v>
      </c>
      <c r="AH630" s="244">
        <f t="shared" si="241"/>
        <v>0.38</v>
      </c>
      <c r="AI630" s="77">
        <f t="shared" si="242"/>
        <v>0</v>
      </c>
      <c r="AJ630" s="498">
        <v>0</v>
      </c>
      <c r="AK630" s="270">
        <f t="shared" si="227"/>
        <v>0</v>
      </c>
      <c r="AL630" s="77">
        <f t="shared" si="243"/>
        <v>0</v>
      </c>
      <c r="AM630" s="77">
        <f t="shared" si="228"/>
        <v>0</v>
      </c>
      <c r="AN630" s="77">
        <f t="shared" si="229"/>
        <v>0</v>
      </c>
      <c r="AO630" s="13"/>
      <c r="AP630" s="13"/>
    </row>
    <row r="631" spans="1:42" ht="15.75" thickBot="1">
      <c r="A631" s="187"/>
      <c r="B631" s="515"/>
      <c r="C631" s="515"/>
      <c r="D631" s="516"/>
      <c r="E631" s="2"/>
      <c r="F631" s="1284"/>
      <c r="G631" s="517"/>
      <c r="H631" s="1300"/>
      <c r="I631" s="1301"/>
      <c r="J631" s="897"/>
      <c r="K631" s="533"/>
      <c r="P631" s="886"/>
      <c r="Q631" s="1091"/>
      <c r="R631" s="1092"/>
      <c r="S631" s="364"/>
      <c r="T631" s="365"/>
      <c r="U631" s="366"/>
      <c r="V631" s="366"/>
      <c r="W631" s="366"/>
      <c r="X631" s="366"/>
      <c r="Y631" s="366"/>
      <c r="Z631" s="366"/>
      <c r="AA631" s="367"/>
      <c r="AB631" s="367"/>
      <c r="AC631" s="367"/>
      <c r="AD631" s="367">
        <f>AVERAGE(AD619:AD630)</f>
        <v>0.58880799808048612</v>
      </c>
      <c r="AE631" s="366"/>
      <c r="AF631" s="366"/>
      <c r="AG631" s="1872"/>
      <c r="AH631" s="367"/>
      <c r="AI631" s="1302">
        <f>S619*AI619+S620*AI620+S621*AI621+S622*AI622+S623*AI623+S624*AI624+S625*AI625+S626*AI626+S627*AI627+S628*AI628+S629*AI629+S630*AI630</f>
        <v>0.4662255011275665</v>
      </c>
      <c r="AJ631" s="304">
        <f>SUM(AJ619:AJ630)</f>
        <v>153</v>
      </c>
      <c r="AK631" s="514">
        <f>SUM(AK619:AK630)</f>
        <v>2807.4822200612898</v>
      </c>
      <c r="AM631" s="307">
        <f>SUM(AM619:AM630)</f>
        <v>2.6011118478094556E-3</v>
      </c>
      <c r="AN631" s="307">
        <f>SUM(AN619:AN630)</f>
        <v>0.11000083838489141</v>
      </c>
      <c r="AO631" s="13"/>
      <c r="AP631" s="13"/>
    </row>
    <row r="632" spans="1:42">
      <c r="A632" s="2365" t="s">
        <v>1303</v>
      </c>
      <c r="B632" s="2365"/>
      <c r="C632" s="2365"/>
      <c r="D632" s="2365"/>
      <c r="E632" s="2365"/>
      <c r="F632" s="2365"/>
      <c r="G632" s="2365"/>
      <c r="H632" s="2365"/>
      <c r="I632" s="2365"/>
      <c r="J632" s="2365"/>
      <c r="K632" s="533"/>
      <c r="AI632" s="16"/>
      <c r="AO632" s="13"/>
      <c r="AP632" s="13"/>
    </row>
    <row r="633" spans="1:42" ht="15.75" thickBot="1">
      <c r="A633" s="2365"/>
      <c r="B633" s="2365"/>
      <c r="C633" s="2365"/>
      <c r="D633" s="2365"/>
      <c r="E633" s="2365"/>
      <c r="F633" s="2365"/>
      <c r="G633" s="2365"/>
      <c r="H633" s="2365"/>
      <c r="I633" s="2365"/>
      <c r="J633" s="2365"/>
      <c r="K633" s="2309" t="s">
        <v>1304</v>
      </c>
      <c r="L633" s="2309"/>
      <c r="M633" s="2309"/>
      <c r="N633" s="2309"/>
      <c r="O633" s="2309"/>
      <c r="P633" s="1852"/>
      <c r="T633" s="1851"/>
      <c r="U633" s="627"/>
      <c r="V633" s="627"/>
      <c r="W633" s="627"/>
      <c r="X633" s="627"/>
      <c r="Y633" s="627"/>
      <c r="Z633" s="627"/>
      <c r="AA633" s="614">
        <v>0.3</v>
      </c>
      <c r="AB633" s="628">
        <v>0.34</v>
      </c>
      <c r="AC633" s="628"/>
      <c r="AD633" s="1851"/>
      <c r="AE633" s="188"/>
      <c r="AF633" s="188"/>
      <c r="AG633" s="1866"/>
      <c r="AH633" s="1851"/>
      <c r="AI633" s="16"/>
      <c r="AO633" s="13"/>
      <c r="AP633" s="13"/>
    </row>
    <row r="634" spans="1:42" ht="60.75" thickBot="1">
      <c r="A634" s="149" t="s">
        <v>652</v>
      </c>
      <c r="B634" s="1263" t="s">
        <v>10</v>
      </c>
      <c r="C634" s="990" t="s">
        <v>11</v>
      </c>
      <c r="D634" s="370" t="s">
        <v>12</v>
      </c>
      <c r="E634" s="370" t="s">
        <v>13</v>
      </c>
      <c r="F634" s="370" t="s">
        <v>14</v>
      </c>
      <c r="G634" s="371" t="s">
        <v>15</v>
      </c>
      <c r="H634" s="372" t="s">
        <v>1090</v>
      </c>
      <c r="I634" s="372">
        <f>$C$17</f>
        <v>0.45</v>
      </c>
      <c r="J634" s="684">
        <f>$C$17</f>
        <v>0.45</v>
      </c>
      <c r="K634" s="548" t="s">
        <v>15</v>
      </c>
      <c r="L634" s="423" t="s">
        <v>12</v>
      </c>
      <c r="M634" s="196" t="s">
        <v>1091</v>
      </c>
      <c r="N634" s="549" t="s">
        <v>993</v>
      </c>
      <c r="O634" s="424" t="s">
        <v>1092</v>
      </c>
      <c r="P634" s="199" t="s">
        <v>1092</v>
      </c>
      <c r="Q634" s="875" t="s">
        <v>1093</v>
      </c>
      <c r="R634" s="1264" t="s">
        <v>1094</v>
      </c>
      <c r="S634" s="1303" t="s">
        <v>1095</v>
      </c>
      <c r="T634" s="203" t="s">
        <v>1095</v>
      </c>
      <c r="U634" s="204" t="s">
        <v>1096</v>
      </c>
      <c r="V634" s="205" t="s">
        <v>1093</v>
      </c>
      <c r="W634" s="206" t="s">
        <v>1094</v>
      </c>
      <c r="X634" s="207" t="s">
        <v>1097</v>
      </c>
      <c r="Y634" s="208">
        <f>$X$591</f>
        <v>0.47</v>
      </c>
      <c r="Z634" s="207" t="s">
        <v>1098</v>
      </c>
      <c r="AA634" s="209" t="s">
        <v>1099</v>
      </c>
      <c r="AB634" s="209" t="s">
        <v>1100</v>
      </c>
      <c r="AC634" s="210" t="s">
        <v>1092</v>
      </c>
      <c r="AD634" s="211" t="s">
        <v>1101</v>
      </c>
      <c r="AE634" s="209" t="s">
        <v>1102</v>
      </c>
      <c r="AF634" s="208" t="s">
        <v>1103</v>
      </c>
      <c r="AG634" s="1867" t="s">
        <v>1104</v>
      </c>
      <c r="AH634" s="213" t="s">
        <v>1116</v>
      </c>
      <c r="AI634" s="220" t="s">
        <v>1106</v>
      </c>
      <c r="AJ634" s="483" t="s">
        <v>1107</v>
      </c>
      <c r="AK634" s="484" t="s">
        <v>1108</v>
      </c>
      <c r="AL634" s="221" t="s">
        <v>1109</v>
      </c>
      <c r="AM634" s="221" t="s">
        <v>1175</v>
      </c>
      <c r="AN634" s="221" t="s">
        <v>1176</v>
      </c>
      <c r="AO634" s="13"/>
      <c r="AP634" s="13"/>
    </row>
    <row r="635" spans="1:42" ht="15.75">
      <c r="A635" s="187"/>
      <c r="B635" s="1304" t="s">
        <v>1305</v>
      </c>
      <c r="C635" s="1305" t="s">
        <v>754</v>
      </c>
      <c r="D635" s="1306">
        <v>3385</v>
      </c>
      <c r="E635" s="1307">
        <v>1</v>
      </c>
      <c r="F635" s="1308">
        <v>4</v>
      </c>
      <c r="G635" s="1309">
        <v>6150</v>
      </c>
      <c r="H635" s="1310">
        <f t="shared" ref="H635:H640" si="247">G635*(1+$H$33)</f>
        <v>6580.5</v>
      </c>
      <c r="I635" s="1311">
        <f t="shared" ref="I635:I645" si="248">H635-H635*$J$594</f>
        <v>3619.2750000000001</v>
      </c>
      <c r="J635" s="1039">
        <f>G635-G635*$J$594</f>
        <v>3382.5</v>
      </c>
      <c r="K635" s="691">
        <v>7575</v>
      </c>
      <c r="L635" s="808">
        <v>2747</v>
      </c>
      <c r="M635" s="1312">
        <f t="shared" ref="M635:M640" si="249">L635/D635*100%</f>
        <v>0.81152141802067945</v>
      </c>
      <c r="N635" s="235">
        <f t="shared" ref="N635:N640" si="250">K635-(K635*$N$33)</f>
        <v>4166.25</v>
      </c>
      <c r="O635" s="880">
        <f t="shared" ref="O635:O646" si="251">((N635/J635)-1)*100%</f>
        <v>0.23170731707317072</v>
      </c>
      <c r="P635" s="470">
        <f t="shared" ref="P635:P640" si="252">((N635/I635)-1)*100%</f>
        <v>0.15112833371324363</v>
      </c>
      <c r="Q635" s="1313">
        <v>59.73</v>
      </c>
      <c r="R635" s="382">
        <f t="shared" ref="R635:R646" si="253">Q635*$R$33</f>
        <v>2809.2810899999999</v>
      </c>
      <c r="S635" s="1314">
        <f t="shared" ref="S635:S646" si="254">((J635-R635)/J635)*100%</f>
        <v>0.16946604878048782</v>
      </c>
      <c r="T635" s="237">
        <f t="shared" ref="T635:T645" si="255">((I635-R635)/I635)*100%</f>
        <v>0.22380004558924096</v>
      </c>
      <c r="U635" s="238">
        <v>47.96</v>
      </c>
      <c r="V635" s="239">
        <f t="shared" ref="V635:V646" si="256">U635*$X$31</f>
        <v>57.552</v>
      </c>
      <c r="W635" s="239">
        <f t="shared" ref="W635:W646" si="257">V635*$R$33</f>
        <v>2706.8432160000002</v>
      </c>
      <c r="X635" s="240">
        <f>(ROUND(W635/(1-$AA$633),0))</f>
        <v>3867</v>
      </c>
      <c r="Y635" s="239">
        <f t="shared" ref="Y635:Y646" si="258">Z635*(1-$X$591)</f>
        <v>3726.4300000000003</v>
      </c>
      <c r="Z635" s="240">
        <f t="shared" ref="Z635:Z646" si="259">ROUND(X635/(1-$X$590),0)</f>
        <v>7031</v>
      </c>
      <c r="AA635" s="241">
        <f t="shared" ref="AA635:AA646" si="260">((X635-W635)/X635)*100%</f>
        <v>0.30001468425135758</v>
      </c>
      <c r="AB635" s="241">
        <f t="shared" ref="AB635:AB646" si="261">((Y635-W635)/Y635)*100%</f>
        <v>0.27360953620489314</v>
      </c>
      <c r="AC635" s="1198">
        <f t="shared" ref="AC635:AC646" si="262">((N635/Y635)-1)*100%</f>
        <v>0.11802717346092639</v>
      </c>
      <c r="AD635" s="1004">
        <f t="shared" ref="AD635:AD646" si="263">((N635*0.96-W635)/(N635*0.96))*100%</f>
        <v>0.3232215181518151</v>
      </c>
      <c r="AE635" s="238">
        <f t="shared" ref="AE635:AE646" si="264">N635/$R$33</f>
        <v>88.58142155507835</v>
      </c>
      <c r="AF635" s="239">
        <f>(V635/(1-$AA$633))</f>
        <v>82.217142857142861</v>
      </c>
      <c r="AG635" s="1868">
        <v>149.5</v>
      </c>
      <c r="AH635" s="244">
        <f t="shared" ref="AH635:AH646" si="265">((AF635-V635)/AF635)*100%</f>
        <v>0.30000000000000004</v>
      </c>
      <c r="AI635" s="77">
        <f>AJ635/$AJ$647</f>
        <v>0.14719101123595504</v>
      </c>
      <c r="AJ635" s="498">
        <v>131</v>
      </c>
      <c r="AK635" s="859">
        <f t="shared" ref="AK635:AK646" si="266">Q635*S635*AJ635</f>
        <v>1326.0091292692682</v>
      </c>
      <c r="AL635" s="77">
        <f>AK635/$AK$647</f>
        <v>9.0319358615207512E-2</v>
      </c>
      <c r="AM635" s="77">
        <f t="shared" ref="AM635:AM646" si="267">AJ635/$AJ$745</f>
        <v>2.2270957651179001E-3</v>
      </c>
      <c r="AN635" s="77">
        <f t="shared" ref="AN635:AN646" si="268">AK635/$AK$745</f>
        <v>5.1954778157937927E-2</v>
      </c>
      <c r="AO635" s="13"/>
      <c r="AP635" s="13"/>
    </row>
    <row r="636" spans="1:42" ht="15.75">
      <c r="A636" s="187"/>
      <c r="B636" s="1275" t="s">
        <v>653</v>
      </c>
      <c r="C636" s="1288" t="s">
        <v>755</v>
      </c>
      <c r="D636" s="1267">
        <v>3995</v>
      </c>
      <c r="E636" s="688">
        <v>1</v>
      </c>
      <c r="F636" s="1268">
        <v>4</v>
      </c>
      <c r="G636" s="1276">
        <v>7425</v>
      </c>
      <c r="H636" s="1270">
        <f t="shared" si="247"/>
        <v>7944.7500000000009</v>
      </c>
      <c r="I636" s="1271">
        <f t="shared" si="248"/>
        <v>4369.6125000000011</v>
      </c>
      <c r="J636" s="690">
        <f>G636-G636*$J$594</f>
        <v>4083.75</v>
      </c>
      <c r="K636" s="321">
        <v>9132</v>
      </c>
      <c r="L636" s="322">
        <v>3461</v>
      </c>
      <c r="M636" s="505">
        <f t="shared" si="249"/>
        <v>0.86633291614518149</v>
      </c>
      <c r="N636" s="258">
        <f t="shared" si="250"/>
        <v>5022.5999999999995</v>
      </c>
      <c r="O636" s="1197">
        <f t="shared" si="251"/>
        <v>0.22989898989898983</v>
      </c>
      <c r="P636" s="472">
        <f t="shared" si="252"/>
        <v>0.14943830831681248</v>
      </c>
      <c r="Q636" s="1315">
        <v>68.349999999999994</v>
      </c>
      <c r="R636" s="382">
        <f t="shared" si="253"/>
        <v>3214.7055499999997</v>
      </c>
      <c r="S636" s="918">
        <f t="shared" si="254"/>
        <v>0.21280549739822474</v>
      </c>
      <c r="T636" s="260">
        <f t="shared" si="255"/>
        <v>0.26430420317591119</v>
      </c>
      <c r="U636" s="261">
        <v>54.88</v>
      </c>
      <c r="V636" s="239">
        <f t="shared" si="256"/>
        <v>65.855999999999995</v>
      </c>
      <c r="W636" s="239">
        <f t="shared" si="257"/>
        <v>3097.405248</v>
      </c>
      <c r="X636" s="240">
        <f>(ROUND(W636/(1-$AA$633),0))</f>
        <v>4425</v>
      </c>
      <c r="Y636" s="239">
        <f t="shared" si="258"/>
        <v>4263.8500000000004</v>
      </c>
      <c r="Z636" s="240">
        <f t="shared" si="259"/>
        <v>8045</v>
      </c>
      <c r="AA636" s="241">
        <f t="shared" si="260"/>
        <v>0.30002141288135592</v>
      </c>
      <c r="AB636" s="241">
        <f t="shared" si="261"/>
        <v>0.27356608511087405</v>
      </c>
      <c r="AC636" s="1198">
        <f t="shared" si="262"/>
        <v>0.17794950572839086</v>
      </c>
      <c r="AD636" s="1004">
        <f t="shared" si="263"/>
        <v>0.35761083900768514</v>
      </c>
      <c r="AE636" s="238">
        <f t="shared" si="264"/>
        <v>106.78885038164691</v>
      </c>
      <c r="AF636" s="239">
        <f>(V636/(1-$AA$633))</f>
        <v>94.08</v>
      </c>
      <c r="AG636" s="1868">
        <v>171.05</v>
      </c>
      <c r="AH636" s="244">
        <f t="shared" si="265"/>
        <v>0.30000000000000004</v>
      </c>
      <c r="AI636" s="77">
        <f t="shared" ref="AI636:AI646" si="269">AJ636/$AJ$647</f>
        <v>0.21235955056179776</v>
      </c>
      <c r="AJ636" s="498">
        <v>189</v>
      </c>
      <c r="AK636" s="859">
        <f t="shared" si="266"/>
        <v>2749.0533362148767</v>
      </c>
      <c r="AL636" s="77">
        <f t="shared" ref="AL636:AL646" si="270">AK636/$AK$647</f>
        <v>0.18724813324833761</v>
      </c>
      <c r="AM636" s="77">
        <f t="shared" si="267"/>
        <v>3.2131381649410924E-3</v>
      </c>
      <c r="AN636" s="77">
        <f t="shared" si="268"/>
        <v>0.10771151802408124</v>
      </c>
      <c r="AO636" s="13"/>
      <c r="AP636" s="13"/>
    </row>
    <row r="637" spans="1:42" ht="15.75">
      <c r="A637" s="187"/>
      <c r="B637" s="1275" t="s">
        <v>654</v>
      </c>
      <c r="C637" s="1288" t="s">
        <v>756</v>
      </c>
      <c r="D637" s="1267">
        <v>4605</v>
      </c>
      <c r="E637" s="688">
        <v>1</v>
      </c>
      <c r="F637" s="1268">
        <v>4</v>
      </c>
      <c r="G637" s="1276">
        <v>8361</v>
      </c>
      <c r="H637" s="1270">
        <f t="shared" si="247"/>
        <v>8946.27</v>
      </c>
      <c r="I637" s="1271">
        <f t="shared" si="248"/>
        <v>4920.4485000000004</v>
      </c>
      <c r="J637" s="690">
        <f t="shared" ref="J637:J646" si="271">G637-G637*$J$634</f>
        <v>4598.5499999999993</v>
      </c>
      <c r="K637" s="321">
        <v>10700</v>
      </c>
      <c r="L637" s="322">
        <v>4175</v>
      </c>
      <c r="M637" s="505">
        <f t="shared" si="249"/>
        <v>0.90662323561346359</v>
      </c>
      <c r="N637" s="258">
        <f t="shared" si="250"/>
        <v>5885</v>
      </c>
      <c r="O637" s="1197">
        <f t="shared" si="251"/>
        <v>0.27975122592991286</v>
      </c>
      <c r="P637" s="472">
        <f t="shared" si="252"/>
        <v>0.19602918311206774</v>
      </c>
      <c r="Q637" s="1313">
        <v>76.97</v>
      </c>
      <c r="R637" s="382">
        <f t="shared" si="253"/>
        <v>3620.1300099999999</v>
      </c>
      <c r="S637" s="918">
        <f t="shared" si="254"/>
        <v>0.21276706570549403</v>
      </c>
      <c r="T637" s="260">
        <f t="shared" si="255"/>
        <v>0.26426828570606936</v>
      </c>
      <c r="U637" s="261">
        <v>61.8</v>
      </c>
      <c r="V637" s="239">
        <f t="shared" si="256"/>
        <v>74.16</v>
      </c>
      <c r="W637" s="239">
        <f t="shared" si="257"/>
        <v>3487.9672799999998</v>
      </c>
      <c r="X637" s="240">
        <f>(ROUND(W637/(1-$AB$633),0))</f>
        <v>5285</v>
      </c>
      <c r="Y637" s="239">
        <f t="shared" si="258"/>
        <v>5092.7700000000004</v>
      </c>
      <c r="Z637" s="240">
        <f t="shared" si="259"/>
        <v>9609</v>
      </c>
      <c r="AA637" s="241">
        <f t="shared" si="260"/>
        <v>0.34002511258278151</v>
      </c>
      <c r="AB637" s="241">
        <f t="shared" si="261"/>
        <v>0.31511392032233942</v>
      </c>
      <c r="AC637" s="1198">
        <f t="shared" si="262"/>
        <v>0.155559744500537</v>
      </c>
      <c r="AD637" s="1004">
        <f t="shared" si="263"/>
        <v>0.38261694987255734</v>
      </c>
      <c r="AE637" s="238">
        <f t="shared" si="264"/>
        <v>125.12491229562222</v>
      </c>
      <c r="AF637" s="239">
        <f>(V637/(1-$AB$633))</f>
        <v>112.36363636363637</v>
      </c>
      <c r="AG637" s="1868">
        <v>204.3</v>
      </c>
      <c r="AH637" s="244">
        <f t="shared" si="265"/>
        <v>0.34000000000000008</v>
      </c>
      <c r="AI637" s="77">
        <f t="shared" si="269"/>
        <v>0.18651685393258427</v>
      </c>
      <c r="AJ637" s="498">
        <v>166</v>
      </c>
      <c r="AK637" s="859">
        <f t="shared" si="266"/>
        <v>2718.5290538604118</v>
      </c>
      <c r="AL637" s="77">
        <f t="shared" si="270"/>
        <v>0.18516901211440995</v>
      </c>
      <c r="AM637" s="77">
        <f t="shared" si="267"/>
        <v>2.8221213512181023E-3</v>
      </c>
      <c r="AN637" s="77">
        <f t="shared" si="268"/>
        <v>0.10651553657632876</v>
      </c>
      <c r="AO637" s="13"/>
      <c r="AP637" s="13"/>
    </row>
    <row r="638" spans="1:42" ht="15.75">
      <c r="A638" s="187"/>
      <c r="B638" s="1275" t="s">
        <v>655</v>
      </c>
      <c r="C638" s="1288" t="s">
        <v>757</v>
      </c>
      <c r="D638" s="1267">
        <v>5215</v>
      </c>
      <c r="E638" s="688">
        <v>1</v>
      </c>
      <c r="F638" s="1268">
        <v>4</v>
      </c>
      <c r="G638" s="1276">
        <v>9296</v>
      </c>
      <c r="H638" s="1270">
        <f t="shared" si="247"/>
        <v>9946.7200000000012</v>
      </c>
      <c r="I638" s="1271">
        <f t="shared" si="248"/>
        <v>5470.6960000000008</v>
      </c>
      <c r="J638" s="690">
        <f t="shared" si="271"/>
        <v>5112.8</v>
      </c>
      <c r="K638" s="321">
        <v>12303</v>
      </c>
      <c r="L638" s="322">
        <v>4889</v>
      </c>
      <c r="M638" s="505">
        <f t="shared" si="249"/>
        <v>0.9374880153403643</v>
      </c>
      <c r="N638" s="258">
        <f t="shared" si="250"/>
        <v>6766.65</v>
      </c>
      <c r="O638" s="1197">
        <f t="shared" si="251"/>
        <v>0.32347246127366591</v>
      </c>
      <c r="P638" s="472">
        <f t="shared" si="252"/>
        <v>0.23689015072305208</v>
      </c>
      <c r="Q638" s="1315">
        <v>85.58</v>
      </c>
      <c r="R638" s="382">
        <f t="shared" si="253"/>
        <v>4025.0841399999999</v>
      </c>
      <c r="S638" s="918">
        <f t="shared" si="254"/>
        <v>0.21274367469879521</v>
      </c>
      <c r="T638" s="260">
        <f t="shared" si="255"/>
        <v>0.26424642495214518</v>
      </c>
      <c r="U638" s="261">
        <v>71.58</v>
      </c>
      <c r="V638" s="239">
        <f t="shared" si="256"/>
        <v>85.896000000000001</v>
      </c>
      <c r="W638" s="239">
        <f t="shared" si="257"/>
        <v>4039.9465680000003</v>
      </c>
      <c r="X638" s="240">
        <f>(ROUND(W638/(1-$AB$633),0))</f>
        <v>6121</v>
      </c>
      <c r="Y638" s="239">
        <f t="shared" si="258"/>
        <v>5898.37</v>
      </c>
      <c r="Z638" s="240">
        <f t="shared" si="259"/>
        <v>11129</v>
      </c>
      <c r="AA638" s="241">
        <f t="shared" si="260"/>
        <v>0.33998585721287367</v>
      </c>
      <c r="AB638" s="241">
        <f t="shared" si="261"/>
        <v>0.31507406825953604</v>
      </c>
      <c r="AC638" s="1198">
        <f t="shared" si="262"/>
        <v>0.14720677068410426</v>
      </c>
      <c r="AD638" s="1004">
        <f t="shared" si="263"/>
        <v>0.37808551129436269</v>
      </c>
      <c r="AE638" s="238">
        <f t="shared" si="264"/>
        <v>143.8702613058916</v>
      </c>
      <c r="AF638" s="239">
        <f>(V638/(1-$AB$633))</f>
        <v>130.14545454545456</v>
      </c>
      <c r="AG638" s="1868">
        <v>236.63</v>
      </c>
      <c r="AH638" s="244">
        <f t="shared" si="265"/>
        <v>0.34</v>
      </c>
      <c r="AI638" s="92">
        <f t="shared" si="269"/>
        <v>0.1853932584269663</v>
      </c>
      <c r="AJ638" s="86">
        <v>165</v>
      </c>
      <c r="AK638" s="865">
        <f t="shared" si="266"/>
        <v>3004.0896073192771</v>
      </c>
      <c r="AL638" s="92">
        <f t="shared" si="270"/>
        <v>0.20461959165033028</v>
      </c>
      <c r="AM638" s="77">
        <f t="shared" si="267"/>
        <v>2.805120620186668E-3</v>
      </c>
      <c r="AN638" s="77">
        <f t="shared" si="268"/>
        <v>0.11770417387763392</v>
      </c>
      <c r="AO638" s="13"/>
      <c r="AP638" s="13"/>
    </row>
    <row r="639" spans="1:42" ht="15.75">
      <c r="A639" s="187"/>
      <c r="B639" s="1275" t="s">
        <v>656</v>
      </c>
      <c r="C639" s="1288" t="s">
        <v>758</v>
      </c>
      <c r="D639" s="1267">
        <v>5852</v>
      </c>
      <c r="E639" s="688">
        <v>1</v>
      </c>
      <c r="F639" s="1268">
        <v>4</v>
      </c>
      <c r="G639" s="1276">
        <v>10233</v>
      </c>
      <c r="H639" s="1270">
        <f t="shared" si="247"/>
        <v>10949.310000000001</v>
      </c>
      <c r="I639" s="1271">
        <f t="shared" si="248"/>
        <v>6022.1205000000009</v>
      </c>
      <c r="J639" s="690">
        <f t="shared" si="271"/>
        <v>5628.15</v>
      </c>
      <c r="K639" s="321">
        <v>14291</v>
      </c>
      <c r="L639" s="322">
        <v>5603</v>
      </c>
      <c r="M639" s="505">
        <f t="shared" si="249"/>
        <v>0.95745044429254955</v>
      </c>
      <c r="N639" s="258">
        <f t="shared" si="250"/>
        <v>7860.05</v>
      </c>
      <c r="O639" s="1197">
        <f t="shared" si="251"/>
        <v>0.39656014853904042</v>
      </c>
      <c r="P639" s="472">
        <f t="shared" si="252"/>
        <v>0.30519640050377594</v>
      </c>
      <c r="Q639" s="1315">
        <v>94.2</v>
      </c>
      <c r="R639" s="382">
        <f t="shared" si="253"/>
        <v>4430.5086000000001</v>
      </c>
      <c r="S639" s="918">
        <f t="shared" si="254"/>
        <v>0.21279486154420185</v>
      </c>
      <c r="T639" s="696">
        <f t="shared" si="255"/>
        <v>0.26429426312542242</v>
      </c>
      <c r="U639" s="238">
        <v>75.64</v>
      </c>
      <c r="V639" s="239">
        <f t="shared" si="256"/>
        <v>90.768000000000001</v>
      </c>
      <c r="W639" s="239">
        <f t="shared" si="257"/>
        <v>4269.0913440000004</v>
      </c>
      <c r="X639" s="240">
        <f>(ROUND(W639/(1-$AB$633),0))</f>
        <v>6468</v>
      </c>
      <c r="Y639" s="239">
        <f t="shared" si="258"/>
        <v>6232.8</v>
      </c>
      <c r="Z639" s="240">
        <f t="shared" si="259"/>
        <v>11760</v>
      </c>
      <c r="AA639" s="241">
        <f t="shared" si="260"/>
        <v>0.33996732467532459</v>
      </c>
      <c r="AB639" s="241">
        <f t="shared" si="261"/>
        <v>0.3150604312668463</v>
      </c>
      <c r="AC639" s="1198">
        <f t="shared" si="262"/>
        <v>0.26107848799897315</v>
      </c>
      <c r="AD639" s="1004">
        <f t="shared" si="263"/>
        <v>0.4342313153224216</v>
      </c>
      <c r="AE639" s="238">
        <f t="shared" si="264"/>
        <v>167.117768375396</v>
      </c>
      <c r="AF639" s="239">
        <f>(V639/(1-$AB$633))</f>
        <v>137.52727272727273</v>
      </c>
      <c r="AG639" s="1868">
        <v>250.05</v>
      </c>
      <c r="AH639" s="244">
        <f t="shared" si="265"/>
        <v>0.34</v>
      </c>
      <c r="AI639" s="77">
        <f t="shared" si="269"/>
        <v>0.10786516853932585</v>
      </c>
      <c r="AJ639" s="498">
        <v>96</v>
      </c>
      <c r="AK639" s="859">
        <f t="shared" si="266"/>
        <v>1924.3464919165262</v>
      </c>
      <c r="AL639" s="77">
        <f t="shared" si="270"/>
        <v>0.13107431696123045</v>
      </c>
      <c r="AM639" s="77">
        <f t="shared" si="267"/>
        <v>1.6320701790176978E-3</v>
      </c>
      <c r="AN639" s="77">
        <f t="shared" si="268"/>
        <v>7.5398421383135752E-2</v>
      </c>
      <c r="AO639" s="13"/>
      <c r="AP639" s="13"/>
    </row>
    <row r="640" spans="1:42" ht="16.5" thickBot="1">
      <c r="A640" s="187"/>
      <c r="B640" s="1275" t="s">
        <v>657</v>
      </c>
      <c r="C640" s="1288" t="s">
        <v>759</v>
      </c>
      <c r="D640" s="1267">
        <v>6435</v>
      </c>
      <c r="E640" s="688">
        <v>1</v>
      </c>
      <c r="F640" s="1268">
        <v>4</v>
      </c>
      <c r="G640" s="1276">
        <v>11169</v>
      </c>
      <c r="H640" s="1270">
        <f t="shared" si="247"/>
        <v>11950.83</v>
      </c>
      <c r="I640" s="1271">
        <f t="shared" si="248"/>
        <v>6572.9565000000002</v>
      </c>
      <c r="J640" s="690">
        <f t="shared" si="271"/>
        <v>6142.95</v>
      </c>
      <c r="K640" s="340">
        <v>15911</v>
      </c>
      <c r="L640" s="341">
        <v>6317</v>
      </c>
      <c r="M640" s="1316">
        <f t="shared" si="249"/>
        <v>0.98166278166278165</v>
      </c>
      <c r="N640" s="285">
        <f t="shared" si="250"/>
        <v>8751.0499999999993</v>
      </c>
      <c r="O640" s="715">
        <f t="shared" si="251"/>
        <v>0.42456800071626821</v>
      </c>
      <c r="P640" s="472">
        <f t="shared" si="252"/>
        <v>0.33137196328623175</v>
      </c>
      <c r="Q640" s="1315">
        <v>102.82</v>
      </c>
      <c r="R640" s="382">
        <f t="shared" si="253"/>
        <v>4835.9330599999994</v>
      </c>
      <c r="S640" s="918">
        <f t="shared" si="254"/>
        <v>0.21276698328978755</v>
      </c>
      <c r="T640" s="696">
        <f t="shared" si="255"/>
        <v>0.26426820868204448</v>
      </c>
      <c r="U640" s="261">
        <v>82.56</v>
      </c>
      <c r="V640" s="239">
        <f t="shared" si="256"/>
        <v>99.072000000000003</v>
      </c>
      <c r="W640" s="239">
        <f t="shared" si="257"/>
        <v>4659.6533760000002</v>
      </c>
      <c r="X640" s="240">
        <f>(ROUND(W640/(1-$AB$633),0))</f>
        <v>7060</v>
      </c>
      <c r="Y640" s="239">
        <f t="shared" si="258"/>
        <v>6803.08</v>
      </c>
      <c r="Z640" s="240">
        <f t="shared" si="259"/>
        <v>12836</v>
      </c>
      <c r="AA640" s="241">
        <f t="shared" si="260"/>
        <v>0.3399924396600566</v>
      </c>
      <c r="AB640" s="241">
        <f t="shared" si="261"/>
        <v>0.31506709078828998</v>
      </c>
      <c r="AC640" s="1198">
        <f t="shared" si="262"/>
        <v>0.28633648288716285</v>
      </c>
      <c r="AD640" s="1004">
        <f t="shared" si="263"/>
        <v>0.44534591848978117</v>
      </c>
      <c r="AE640" s="238">
        <f t="shared" si="264"/>
        <v>186.06191397529392</v>
      </c>
      <c r="AF640" s="239">
        <f>(V640/(1-$AB$633))</f>
        <v>150.10909090909092</v>
      </c>
      <c r="AG640" s="1868">
        <v>272.93</v>
      </c>
      <c r="AH640" s="244">
        <f t="shared" si="265"/>
        <v>0.34</v>
      </c>
      <c r="AI640" s="77">
        <f t="shared" si="269"/>
        <v>0.14157303370786517</v>
      </c>
      <c r="AJ640" s="498">
        <v>126</v>
      </c>
      <c r="AK640" s="859">
        <f t="shared" si="266"/>
        <v>2756.4643539538501</v>
      </c>
      <c r="AL640" s="77">
        <f t="shared" si="270"/>
        <v>0.18775292492291595</v>
      </c>
      <c r="AM640" s="77">
        <f t="shared" si="267"/>
        <v>2.1420921099607284E-3</v>
      </c>
      <c r="AN640" s="77">
        <f t="shared" si="268"/>
        <v>0.1080018914265367</v>
      </c>
      <c r="AO640" s="13"/>
      <c r="AP640" s="13"/>
    </row>
    <row r="641" spans="1:42" ht="15.75" thickBot="1">
      <c r="A641" s="187"/>
      <c r="B641" s="1275" t="s">
        <v>1011</v>
      </c>
      <c r="C641" s="1288" t="s">
        <v>1000</v>
      </c>
      <c r="D641" s="1267">
        <v>4960</v>
      </c>
      <c r="E641" s="688">
        <v>1</v>
      </c>
      <c r="F641" s="1268">
        <v>4</v>
      </c>
      <c r="G641" s="1290">
        <v>5638</v>
      </c>
      <c r="H641" s="1317">
        <f>G641*1.07</f>
        <v>6032.6600000000008</v>
      </c>
      <c r="I641" s="1318">
        <f t="shared" si="248"/>
        <v>3317.9630000000002</v>
      </c>
      <c r="J641" s="690">
        <f t="shared" si="271"/>
        <v>3100.9</v>
      </c>
      <c r="K641" s="1229"/>
      <c r="L641" s="1230"/>
      <c r="M641" s="1292"/>
      <c r="N641" s="1293"/>
      <c r="O641" s="1233"/>
      <c r="P641" s="1233"/>
      <c r="Q641" s="331">
        <v>64.59</v>
      </c>
      <c r="R641" s="382">
        <f t="shared" si="253"/>
        <v>3037.8614700000003</v>
      </c>
      <c r="S641" s="918">
        <f t="shared" si="254"/>
        <v>2.0329107678415882E-2</v>
      </c>
      <c r="T641" s="696">
        <f t="shared" si="255"/>
        <v>8.4419726802257858E-2</v>
      </c>
      <c r="U641" s="261">
        <v>51.84</v>
      </c>
      <c r="V641" s="239">
        <f t="shared" si="256"/>
        <v>62.207999999999998</v>
      </c>
      <c r="W641" s="239">
        <f t="shared" si="257"/>
        <v>2925.8288640000001</v>
      </c>
      <c r="X641" s="240">
        <f t="shared" ref="X641:X646" si="272">(ROUND(W641/(1-$AA$633),0))</f>
        <v>4180</v>
      </c>
      <c r="Y641" s="239">
        <f t="shared" si="258"/>
        <v>4028</v>
      </c>
      <c r="Z641" s="240">
        <f t="shared" si="259"/>
        <v>7600</v>
      </c>
      <c r="AA641" s="241">
        <f t="shared" si="260"/>
        <v>0.30004094162679423</v>
      </c>
      <c r="AB641" s="241">
        <f t="shared" si="261"/>
        <v>0.27362739225422045</v>
      </c>
      <c r="AC641" s="1198"/>
      <c r="AD641" s="1004"/>
      <c r="AE641" s="238">
        <f t="shared" si="264"/>
        <v>0</v>
      </c>
      <c r="AF641" s="239">
        <f t="shared" ref="AF641:AF646" si="273">(V641/(1-$AA$633))</f>
        <v>88.868571428571428</v>
      </c>
      <c r="AG641" s="1868">
        <v>161.58000000000001</v>
      </c>
      <c r="AH641" s="244">
        <f t="shared" si="265"/>
        <v>0.3</v>
      </c>
      <c r="AI641" s="77">
        <f t="shared" si="269"/>
        <v>5.6179775280898875E-3</v>
      </c>
      <c r="AJ641" s="498">
        <v>5</v>
      </c>
      <c r="AK641" s="859">
        <f t="shared" si="266"/>
        <v>6.5652853247444085</v>
      </c>
      <c r="AL641" s="77">
        <f t="shared" si="270"/>
        <v>4.4718572939503228E-4</v>
      </c>
      <c r="AM641" s="77">
        <f t="shared" si="267"/>
        <v>8.5003655157171758E-5</v>
      </c>
      <c r="AN641" s="77">
        <f t="shared" si="268"/>
        <v>2.5723649638719463E-4</v>
      </c>
      <c r="AO641" s="13"/>
      <c r="AP641" s="13"/>
    </row>
    <row r="642" spans="1:42">
      <c r="A642" s="187"/>
      <c r="B642" s="1275" t="s">
        <v>1012</v>
      </c>
      <c r="C642" s="1288" t="s">
        <v>1002</v>
      </c>
      <c r="D642" s="1267">
        <v>5610</v>
      </c>
      <c r="E642" s="688">
        <v>1</v>
      </c>
      <c r="F642" s="1268">
        <v>4</v>
      </c>
      <c r="G642" s="1290">
        <v>6800</v>
      </c>
      <c r="H642" s="1317">
        <f>G642*1.07</f>
        <v>7276</v>
      </c>
      <c r="I642" s="1318">
        <f t="shared" si="248"/>
        <v>4001.7999999999997</v>
      </c>
      <c r="J642" s="690">
        <f t="shared" si="271"/>
        <v>3740</v>
      </c>
      <c r="K642" s="1319">
        <v>9542</v>
      </c>
      <c r="L642" s="808">
        <v>4837</v>
      </c>
      <c r="M642" s="1312">
        <f>L642/D642*100%</f>
        <v>0.86221033868092689</v>
      </c>
      <c r="N642" s="235">
        <f>K642-(K642*$N$33)</f>
        <v>5248.0999999999995</v>
      </c>
      <c r="O642" s="1295">
        <f t="shared" si="251"/>
        <v>0.40323529411764691</v>
      </c>
      <c r="P642" s="1197"/>
      <c r="Q642" s="331">
        <v>72.709999999999994</v>
      </c>
      <c r="R642" s="382">
        <f t="shared" si="253"/>
        <v>3419.7694299999998</v>
      </c>
      <c r="S642" s="918">
        <f t="shared" si="254"/>
        <v>8.5623147058823582E-2</v>
      </c>
      <c r="T642" s="696">
        <f t="shared" si="255"/>
        <v>0.14544219351291918</v>
      </c>
      <c r="U642" s="261">
        <v>58.36</v>
      </c>
      <c r="V642" s="239">
        <f t="shared" si="256"/>
        <v>70.031999999999996</v>
      </c>
      <c r="W642" s="239">
        <f t="shared" si="257"/>
        <v>3293.8150559999999</v>
      </c>
      <c r="X642" s="240">
        <f t="shared" si="272"/>
        <v>4705</v>
      </c>
      <c r="Y642" s="239">
        <f t="shared" si="258"/>
        <v>4534.1500000000005</v>
      </c>
      <c r="Z642" s="240">
        <f t="shared" si="259"/>
        <v>8555</v>
      </c>
      <c r="AA642" s="241">
        <f t="shared" si="260"/>
        <v>0.29993303804463339</v>
      </c>
      <c r="AB642" s="241">
        <f t="shared" si="261"/>
        <v>0.27355401651908307</v>
      </c>
      <c r="AC642" s="1198">
        <f t="shared" si="262"/>
        <v>0.15746060452344945</v>
      </c>
      <c r="AD642" s="1004">
        <f t="shared" si="263"/>
        <v>0.34622866370686528</v>
      </c>
      <c r="AE642" s="238">
        <f t="shared" si="264"/>
        <v>111.58335636680627</v>
      </c>
      <c r="AF642" s="239">
        <f t="shared" si="273"/>
        <v>100.04571428571428</v>
      </c>
      <c r="AG642" s="1868">
        <v>181.9</v>
      </c>
      <c r="AH642" s="244">
        <f t="shared" si="265"/>
        <v>0.3</v>
      </c>
      <c r="AI642" s="77">
        <f t="shared" si="269"/>
        <v>3.3707865168539327E-3</v>
      </c>
      <c r="AJ642" s="498">
        <v>3</v>
      </c>
      <c r="AK642" s="859">
        <f t="shared" si="266"/>
        <v>18.676977067941188</v>
      </c>
      <c r="AL642" s="77">
        <f t="shared" si="270"/>
        <v>1.2721575986260314E-3</v>
      </c>
      <c r="AM642" s="77">
        <f t="shared" si="267"/>
        <v>5.1002193094303056E-5</v>
      </c>
      <c r="AN642" s="77">
        <f t="shared" si="268"/>
        <v>7.3178847626827388E-4</v>
      </c>
      <c r="AO642" s="13"/>
      <c r="AP642" s="13"/>
    </row>
    <row r="643" spans="1:42">
      <c r="A643" s="187"/>
      <c r="B643" s="1275" t="s">
        <v>1013</v>
      </c>
      <c r="C643" s="1288" t="s">
        <v>1004</v>
      </c>
      <c r="D643" s="1267">
        <v>6260</v>
      </c>
      <c r="E643" s="688">
        <v>1</v>
      </c>
      <c r="F643" s="1268">
        <v>4</v>
      </c>
      <c r="G643" s="1290">
        <v>7240</v>
      </c>
      <c r="H643" s="1317">
        <f>G643*1.07</f>
        <v>7746.8</v>
      </c>
      <c r="I643" s="1318">
        <f t="shared" si="248"/>
        <v>4260.74</v>
      </c>
      <c r="J643" s="690">
        <f t="shared" si="271"/>
        <v>3982</v>
      </c>
      <c r="K643" s="1320">
        <v>11089</v>
      </c>
      <c r="L643" s="322">
        <v>5233</v>
      </c>
      <c r="M643" s="860">
        <f>L643/D643*100%</f>
        <v>0.83594249201277959</v>
      </c>
      <c r="N643" s="382">
        <f>K643-(K643*$N$33)</f>
        <v>6098.95</v>
      </c>
      <c r="O643" s="329">
        <f t="shared" si="251"/>
        <v>0.53162983425414367</v>
      </c>
      <c r="P643" s="386"/>
      <c r="Q643" s="336">
        <v>80.84</v>
      </c>
      <c r="R643" s="382">
        <f t="shared" si="253"/>
        <v>3802.1477200000004</v>
      </c>
      <c r="S643" s="918">
        <f t="shared" si="254"/>
        <v>4.5166318432948167E-2</v>
      </c>
      <c r="T643" s="696">
        <f t="shared" si="255"/>
        <v>0.10763207330182067</v>
      </c>
      <c r="U643" s="238">
        <v>64.88</v>
      </c>
      <c r="V643" s="239">
        <f t="shared" si="256"/>
        <v>77.855999999999995</v>
      </c>
      <c r="W643" s="239">
        <f t="shared" si="257"/>
        <v>3661.8012479999998</v>
      </c>
      <c r="X643" s="240">
        <f t="shared" si="272"/>
        <v>5231</v>
      </c>
      <c r="Y643" s="239">
        <f t="shared" si="258"/>
        <v>5040.83</v>
      </c>
      <c r="Z643" s="240">
        <f t="shared" si="259"/>
        <v>9511</v>
      </c>
      <c r="AA643" s="241">
        <f t="shared" si="260"/>
        <v>0.29998064461861979</v>
      </c>
      <c r="AB643" s="241">
        <f t="shared" si="261"/>
        <v>0.27357176338023703</v>
      </c>
      <c r="AC643" s="1198">
        <f t="shared" si="262"/>
        <v>0.20990987595296806</v>
      </c>
      <c r="AD643" s="1004">
        <f t="shared" si="263"/>
        <v>0.37458475639249378</v>
      </c>
      <c r="AE643" s="238">
        <f t="shared" si="264"/>
        <v>129.67384602300513</v>
      </c>
      <c r="AF643" s="239">
        <f t="shared" si="273"/>
        <v>111.22285714285714</v>
      </c>
      <c r="AG643" s="1868">
        <v>202.22</v>
      </c>
      <c r="AH643" s="244">
        <f t="shared" si="265"/>
        <v>0.3</v>
      </c>
      <c r="AI643" s="77">
        <f t="shared" si="269"/>
        <v>1.1235955056179776E-3</v>
      </c>
      <c r="AJ643" s="498">
        <v>1</v>
      </c>
      <c r="AK643" s="859">
        <f t="shared" si="266"/>
        <v>3.65124518211953</v>
      </c>
      <c r="AL643" s="77">
        <f t="shared" si="270"/>
        <v>2.4869973797060906E-4</v>
      </c>
      <c r="AM643" s="77">
        <f t="shared" si="267"/>
        <v>1.7000731031434351E-5</v>
      </c>
      <c r="AN643" s="77">
        <f t="shared" si="268"/>
        <v>1.4306057873206255E-4</v>
      </c>
      <c r="AO643" s="13"/>
      <c r="AP643" s="13"/>
    </row>
    <row r="644" spans="1:42">
      <c r="A644" s="187"/>
      <c r="B644" s="1275" t="s">
        <v>1014</v>
      </c>
      <c r="C644" s="1288" t="s">
        <v>1006</v>
      </c>
      <c r="D644" s="1267">
        <v>6910</v>
      </c>
      <c r="E644" s="688">
        <v>1</v>
      </c>
      <c r="F644" s="1268">
        <v>4</v>
      </c>
      <c r="G644" s="1290">
        <v>9157</v>
      </c>
      <c r="H644" s="1317">
        <f>G644*1.07</f>
        <v>9797.99</v>
      </c>
      <c r="I644" s="1318">
        <f t="shared" si="248"/>
        <v>5388.8944999999994</v>
      </c>
      <c r="J644" s="690">
        <f t="shared" si="271"/>
        <v>5036.3499999999995</v>
      </c>
      <c r="K644" s="1320">
        <v>12728</v>
      </c>
      <c r="L644" s="322">
        <v>5770</v>
      </c>
      <c r="M644" s="860">
        <f>L644/D644*100%</f>
        <v>0.83502170767004347</v>
      </c>
      <c r="N644" s="382">
        <f>K644-(K644*$N$33)</f>
        <v>7000.4</v>
      </c>
      <c r="O644" s="329">
        <f t="shared" si="251"/>
        <v>0.38997488260347279</v>
      </c>
      <c r="P644" s="386"/>
      <c r="Q644" s="331">
        <v>88.96</v>
      </c>
      <c r="R644" s="382">
        <f t="shared" si="253"/>
        <v>4184.0556799999995</v>
      </c>
      <c r="S644" s="918">
        <f t="shared" si="254"/>
        <v>0.16922857227952784</v>
      </c>
      <c r="T644" s="696">
        <f t="shared" si="255"/>
        <v>0.22357810493413818</v>
      </c>
      <c r="U644" s="238">
        <v>81.33</v>
      </c>
      <c r="V644" s="239">
        <f t="shared" si="256"/>
        <v>97.595999999999989</v>
      </c>
      <c r="W644" s="239">
        <f t="shared" si="257"/>
        <v>4590.2326679999996</v>
      </c>
      <c r="X644" s="240">
        <f t="shared" si="272"/>
        <v>6557</v>
      </c>
      <c r="Y644" s="239">
        <f t="shared" si="258"/>
        <v>6318.6600000000008</v>
      </c>
      <c r="Z644" s="240">
        <f t="shared" si="259"/>
        <v>11922</v>
      </c>
      <c r="AA644" s="241">
        <f t="shared" si="260"/>
        <v>0.29994926521274978</v>
      </c>
      <c r="AB644" s="241">
        <f t="shared" si="261"/>
        <v>0.27354333545403631</v>
      </c>
      <c r="AC644" s="1198">
        <f t="shared" si="262"/>
        <v>0.10789312923942718</v>
      </c>
      <c r="AD644" s="1004">
        <f t="shared" si="263"/>
        <v>0.31696869286040796</v>
      </c>
      <c r="AE644" s="238">
        <f t="shared" si="264"/>
        <v>148.84017604660556</v>
      </c>
      <c r="AF644" s="239">
        <f t="shared" si="273"/>
        <v>139.42285714285714</v>
      </c>
      <c r="AG644" s="1868">
        <v>253.5</v>
      </c>
      <c r="AH644" s="244">
        <f t="shared" si="265"/>
        <v>0.30000000000000004</v>
      </c>
      <c r="AI644" s="77">
        <f t="shared" si="269"/>
        <v>1.1235955056179776E-3</v>
      </c>
      <c r="AJ644" s="498">
        <v>1</v>
      </c>
      <c r="AK644" s="859">
        <f t="shared" si="266"/>
        <v>15.054573789986796</v>
      </c>
      <c r="AL644" s="77">
        <f t="shared" si="270"/>
        <v>1.0254223888233936E-3</v>
      </c>
      <c r="AM644" s="77">
        <f t="shared" si="267"/>
        <v>1.7000731031434351E-5</v>
      </c>
      <c r="AN644" s="77">
        <f t="shared" si="268"/>
        <v>5.8985796119827522E-4</v>
      </c>
      <c r="AO644" s="13"/>
      <c r="AP644" s="13"/>
    </row>
    <row r="645" spans="1:42">
      <c r="A645" s="187"/>
      <c r="B645" s="1275" t="s">
        <v>1015</v>
      </c>
      <c r="C645" s="1288" t="s">
        <v>1008</v>
      </c>
      <c r="D645" s="1267">
        <v>7560</v>
      </c>
      <c r="E645" s="688">
        <v>1</v>
      </c>
      <c r="F645" s="1268">
        <v>4</v>
      </c>
      <c r="G645" s="1290">
        <v>10327</v>
      </c>
      <c r="H645" s="1317">
        <f>G645*1.07</f>
        <v>11049.890000000001</v>
      </c>
      <c r="I645" s="1318">
        <f t="shared" si="248"/>
        <v>6077.4395000000004</v>
      </c>
      <c r="J645" s="690">
        <f t="shared" si="271"/>
        <v>5679.8499999999995</v>
      </c>
      <c r="K645" s="1320">
        <v>14367</v>
      </c>
      <c r="L645" s="322">
        <v>6230</v>
      </c>
      <c r="M645" s="860">
        <f>L645/D645*100%</f>
        <v>0.82407407407407407</v>
      </c>
      <c r="N645" s="382">
        <f>K645-(K645*$N$33)</f>
        <v>7901.8499999999995</v>
      </c>
      <c r="O645" s="329">
        <f t="shared" si="251"/>
        <v>0.39120751428294764</v>
      </c>
      <c r="P645" s="386"/>
      <c r="Q645" s="331">
        <v>97.08</v>
      </c>
      <c r="R645" s="382">
        <f t="shared" si="253"/>
        <v>4565.9636399999999</v>
      </c>
      <c r="S645" s="918">
        <f t="shared" si="254"/>
        <v>0.19611193253342951</v>
      </c>
      <c r="T645" s="696">
        <f t="shared" si="255"/>
        <v>0.24870274068544826</v>
      </c>
      <c r="U645" s="261">
        <v>77.92</v>
      </c>
      <c r="V645" s="239">
        <f t="shared" si="256"/>
        <v>93.504000000000005</v>
      </c>
      <c r="W645" s="239">
        <f t="shared" si="257"/>
        <v>4397.7736320000004</v>
      </c>
      <c r="X645" s="240">
        <f t="shared" si="272"/>
        <v>6283</v>
      </c>
      <c r="Y645" s="239">
        <f t="shared" si="258"/>
        <v>6054.72</v>
      </c>
      <c r="Z645" s="240">
        <f t="shared" si="259"/>
        <v>11424</v>
      </c>
      <c r="AA645" s="241">
        <f t="shared" si="260"/>
        <v>0.30005194461244622</v>
      </c>
      <c r="AB645" s="241">
        <f t="shared" si="261"/>
        <v>0.27366193118756932</v>
      </c>
      <c r="AC645" s="1198">
        <f t="shared" si="262"/>
        <v>0.30507273664182644</v>
      </c>
      <c r="AD645" s="1004">
        <f t="shared" si="263"/>
        <v>0.42026054658086387</v>
      </c>
      <c r="AE645" s="238">
        <f t="shared" si="264"/>
        <v>168.006506070206</v>
      </c>
      <c r="AF645" s="239">
        <f t="shared" si="273"/>
        <v>133.57714285714286</v>
      </c>
      <c r="AG645" s="1868">
        <v>242.87</v>
      </c>
      <c r="AH645" s="244">
        <f t="shared" si="265"/>
        <v>0.3</v>
      </c>
      <c r="AI645" s="77">
        <f t="shared" si="269"/>
        <v>1.1235955056179776E-3</v>
      </c>
      <c r="AJ645" s="498">
        <v>1</v>
      </c>
      <c r="AK645" s="859">
        <f t="shared" si="266"/>
        <v>19.038546410345337</v>
      </c>
      <c r="AL645" s="77">
        <f t="shared" si="270"/>
        <v>1.296785416323532E-3</v>
      </c>
      <c r="AM645" s="77">
        <f t="shared" si="267"/>
        <v>1.7000731031434351E-5</v>
      </c>
      <c r="AN645" s="77">
        <f t="shared" si="268"/>
        <v>7.4595523768693098E-4</v>
      </c>
      <c r="AO645" s="13"/>
      <c r="AP645" s="13"/>
    </row>
    <row r="646" spans="1:42" ht="15.75" thickBot="1">
      <c r="A646" s="187"/>
      <c r="B646" s="1277" t="s">
        <v>1016</v>
      </c>
      <c r="C646" s="1297" t="s">
        <v>1010</v>
      </c>
      <c r="D646" s="1279">
        <v>8210</v>
      </c>
      <c r="E646" s="1280">
        <v>1</v>
      </c>
      <c r="F646" s="1281">
        <v>4</v>
      </c>
      <c r="G646" s="1298">
        <v>11498</v>
      </c>
      <c r="H646" s="1321">
        <f>G646*(1+$H$33)</f>
        <v>12302.86</v>
      </c>
      <c r="I646" s="1322">
        <f>H646-H646*$J$594</f>
        <v>6766.5730000000003</v>
      </c>
      <c r="J646" s="1323">
        <f t="shared" si="271"/>
        <v>6323.9</v>
      </c>
      <c r="K646" s="1324">
        <v>16040</v>
      </c>
      <c r="L646" s="341">
        <v>7131</v>
      </c>
      <c r="M646" s="507">
        <f>L646/D646*100%</f>
        <v>0.86857490864799025</v>
      </c>
      <c r="N646" s="390">
        <f>K646-(K646*$N$33)</f>
        <v>8822</v>
      </c>
      <c r="O646" s="363">
        <f t="shared" si="251"/>
        <v>0.39502522177770061</v>
      </c>
      <c r="P646" s="343">
        <f>((N646/I646)-1)*100%</f>
        <v>0.30376188951186944</v>
      </c>
      <c r="Q646" s="331">
        <v>104.45</v>
      </c>
      <c r="R646" s="382">
        <f t="shared" si="253"/>
        <v>4912.5968499999999</v>
      </c>
      <c r="S646" s="918">
        <f t="shared" si="254"/>
        <v>0.22316974493587816</v>
      </c>
      <c r="T646" s="696">
        <f>((I646-R646)/I646)*100%</f>
        <v>0.27399041582792355</v>
      </c>
      <c r="U646" s="261">
        <v>84.44</v>
      </c>
      <c r="V646" s="239">
        <f t="shared" si="256"/>
        <v>101.32799999999999</v>
      </c>
      <c r="W646" s="239">
        <f t="shared" si="257"/>
        <v>4765.7598239999998</v>
      </c>
      <c r="X646" s="240">
        <f t="shared" si="272"/>
        <v>6808</v>
      </c>
      <c r="Y646" s="239">
        <f t="shared" si="258"/>
        <v>6560.34</v>
      </c>
      <c r="Z646" s="240">
        <f t="shared" si="259"/>
        <v>12378</v>
      </c>
      <c r="AA646" s="241">
        <f t="shared" si="260"/>
        <v>0.29997652408930675</v>
      </c>
      <c r="AB646" s="241">
        <f t="shared" si="261"/>
        <v>0.27354987332973602</v>
      </c>
      <c r="AC646" s="1198">
        <f t="shared" si="262"/>
        <v>0.34474737589820026</v>
      </c>
      <c r="AD646" s="1004">
        <f t="shared" si="263"/>
        <v>0.43727803785989566</v>
      </c>
      <c r="AE646" s="238">
        <f t="shared" si="264"/>
        <v>187.57042927306358</v>
      </c>
      <c r="AF646" s="239">
        <f t="shared" si="273"/>
        <v>144.75428571428571</v>
      </c>
      <c r="AG646" s="1868">
        <v>263.19</v>
      </c>
      <c r="AH646" s="244">
        <f t="shared" si="265"/>
        <v>0.3000000000000001</v>
      </c>
      <c r="AI646" s="77">
        <f t="shared" si="269"/>
        <v>6.7415730337078653E-3</v>
      </c>
      <c r="AJ646" s="498">
        <v>6</v>
      </c>
      <c r="AK646" s="859">
        <f t="shared" si="266"/>
        <v>139.86047915131485</v>
      </c>
      <c r="AL646" s="77">
        <f t="shared" si="270"/>
        <v>9.5264116164295275E-3</v>
      </c>
      <c r="AM646" s="77">
        <f t="shared" si="267"/>
        <v>1.0200438618860611E-4</v>
      </c>
      <c r="AN646" s="77">
        <f t="shared" si="268"/>
        <v>5.4799171491178309E-3</v>
      </c>
      <c r="AO646" s="13"/>
      <c r="AP646" s="13"/>
    </row>
    <row r="647" spans="1:42" ht="16.5" thickBot="1">
      <c r="A647" s="187"/>
      <c r="B647" s="413"/>
      <c r="C647" s="414"/>
      <c r="D647" s="414"/>
      <c r="E647" s="414"/>
      <c r="F647" s="414"/>
      <c r="G647" s="827"/>
      <c r="H647" s="785"/>
      <c r="I647" s="785"/>
      <c r="J647" s="897"/>
      <c r="K647" s="533"/>
      <c r="P647" s="1325"/>
      <c r="Q647" s="1091"/>
      <c r="R647" s="1092"/>
      <c r="S647" s="364"/>
      <c r="T647" s="365"/>
      <c r="U647" s="366"/>
      <c r="V647" s="366"/>
      <c r="W647" s="366"/>
      <c r="X647" s="366"/>
      <c r="Y647" s="366"/>
      <c r="Z647" s="366"/>
      <c r="AA647" s="367"/>
      <c r="AB647" s="367"/>
      <c r="AC647" s="367"/>
      <c r="AD647" s="367">
        <f>AVERAGE(AD635:AD646)</f>
        <v>0.38331206813992263</v>
      </c>
      <c r="AE647" s="366"/>
      <c r="AF647" s="366"/>
      <c r="AG647" s="1872"/>
      <c r="AH647" s="367"/>
      <c r="AI647" s="1302">
        <f>S635*AI635+S636*AI636+S637*AI637+S638*AI638+S639*AI639+S640*AI640+S641*AI641+S642*AI642+S643*AI643+S644*AI644+S645*AI645+S646*AI646</f>
        <v>0.20470485113045836</v>
      </c>
      <c r="AJ647" s="304">
        <f>SUM(AJ635:AJ646)</f>
        <v>890</v>
      </c>
      <c r="AK647" s="514">
        <f>SUM(AK635:AK646)</f>
        <v>14681.339079460664</v>
      </c>
      <c r="AL647" s="16"/>
      <c r="AM647" s="307">
        <f>SUM(AM635:AM646)</f>
        <v>1.5130650617976572E-2</v>
      </c>
      <c r="AN647" s="307">
        <f>SUM(AN635:AN646)</f>
        <v>0.57523413534504497</v>
      </c>
      <c r="AO647" s="13"/>
      <c r="AP647" s="13"/>
    </row>
    <row r="648" spans="1:42">
      <c r="A648" s="2365" t="s">
        <v>672</v>
      </c>
      <c r="B648" s="2365"/>
      <c r="C648" s="2365"/>
      <c r="D648" s="2365"/>
      <c r="E648" s="2365"/>
      <c r="F648" s="2365"/>
      <c r="G648" s="2365"/>
      <c r="H648" s="2365"/>
      <c r="I648" s="2365"/>
      <c r="J648" s="2365"/>
      <c r="K648" s="533"/>
      <c r="R648" s="153"/>
      <c r="AI648" s="16"/>
      <c r="AL648" s="16"/>
      <c r="AO648" s="13"/>
      <c r="AP648" s="13"/>
    </row>
    <row r="649" spans="1:42" ht="15.75" thickBot="1">
      <c r="A649" s="2365"/>
      <c r="B649" s="2365"/>
      <c r="C649" s="2365"/>
      <c r="D649" s="2365"/>
      <c r="E649" s="2365"/>
      <c r="F649" s="2365"/>
      <c r="G649" s="2365"/>
      <c r="H649" s="2365"/>
      <c r="I649" s="2365"/>
      <c r="J649" s="2365"/>
      <c r="K649" s="533"/>
      <c r="T649" s="1851"/>
      <c r="U649" s="627"/>
      <c r="V649" s="627"/>
      <c r="W649" s="627"/>
      <c r="X649" s="627"/>
      <c r="Y649" s="627"/>
      <c r="Z649" s="627"/>
      <c r="AA649" s="614">
        <v>0.18</v>
      </c>
      <c r="AB649" s="628"/>
      <c r="AC649" s="628"/>
      <c r="AD649" s="1851"/>
      <c r="AE649" s="188"/>
      <c r="AF649" s="188"/>
      <c r="AG649" s="1866"/>
      <c r="AH649" s="1851"/>
      <c r="AI649" s="16"/>
      <c r="AL649" s="16"/>
      <c r="AO649" s="13"/>
      <c r="AP649" s="13"/>
    </row>
    <row r="650" spans="1:42" ht="60.75" thickBot="1">
      <c r="A650" s="149" t="s">
        <v>658</v>
      </c>
      <c r="B650" s="189" t="s">
        <v>10</v>
      </c>
      <c r="C650" s="1326" t="s">
        <v>11</v>
      </c>
      <c r="D650" s="190" t="s">
        <v>12</v>
      </c>
      <c r="E650" s="190" t="s">
        <v>13</v>
      </c>
      <c r="F650" s="190" t="s">
        <v>14</v>
      </c>
      <c r="G650" s="191" t="s">
        <v>15</v>
      </c>
      <c r="H650" s="347" t="s">
        <v>1090</v>
      </c>
      <c r="I650" s="347">
        <f>$C$17</f>
        <v>0.45</v>
      </c>
      <c r="J650" s="873">
        <f>$C$17</f>
        <v>0.45</v>
      </c>
      <c r="K650" s="200" t="s">
        <v>1093</v>
      </c>
      <c r="L650" s="201" t="s">
        <v>1094</v>
      </c>
      <c r="S650" s="202" t="s">
        <v>1095</v>
      </c>
      <c r="T650" s="203" t="s">
        <v>1095</v>
      </c>
      <c r="U650" s="204" t="s">
        <v>1096</v>
      </c>
      <c r="V650" s="205" t="s">
        <v>1093</v>
      </c>
      <c r="W650" s="206" t="s">
        <v>1094</v>
      </c>
      <c r="X650" s="207" t="s">
        <v>1097</v>
      </c>
      <c r="Y650" s="208">
        <f>$X$591</f>
        <v>0.47</v>
      </c>
      <c r="Z650" s="207" t="s">
        <v>1098</v>
      </c>
      <c r="AA650" s="209" t="s">
        <v>1099</v>
      </c>
      <c r="AB650" s="209" t="s">
        <v>1100</v>
      </c>
      <c r="AC650" s="210" t="s">
        <v>1300</v>
      </c>
      <c r="AD650" s="211" t="s">
        <v>1101</v>
      </c>
      <c r="AE650" s="209" t="s">
        <v>1102</v>
      </c>
      <c r="AF650" s="208" t="s">
        <v>1103</v>
      </c>
      <c r="AG650" s="1867" t="s">
        <v>1104</v>
      </c>
      <c r="AH650" s="213" t="s">
        <v>1116</v>
      </c>
      <c r="AI650" s="220" t="s">
        <v>1106</v>
      </c>
      <c r="AJ650" s="483" t="s">
        <v>1107</v>
      </c>
      <c r="AK650" s="484" t="s">
        <v>1108</v>
      </c>
      <c r="AL650" s="221" t="s">
        <v>1109</v>
      </c>
      <c r="AM650" s="221" t="s">
        <v>1175</v>
      </c>
      <c r="AN650" s="221" t="s">
        <v>1176</v>
      </c>
      <c r="AO650" s="13"/>
      <c r="AP650" s="13"/>
    </row>
    <row r="651" spans="1:42">
      <c r="A651" s="187"/>
      <c r="B651" s="1304" t="s">
        <v>660</v>
      </c>
      <c r="C651" s="224" t="s">
        <v>194</v>
      </c>
      <c r="D651" s="1306">
        <v>735</v>
      </c>
      <c r="E651" s="224">
        <v>4</v>
      </c>
      <c r="F651" s="1327">
        <v>15</v>
      </c>
      <c r="G651" s="396">
        <v>866</v>
      </c>
      <c r="H651" s="397">
        <f>G651*(1+$H$33)</f>
        <v>926.62</v>
      </c>
      <c r="I651" s="397">
        <f>H651-H651*$J$594</f>
        <v>509.64100000000002</v>
      </c>
      <c r="J651" s="1039">
        <f>G651-G651*$J$594</f>
        <v>476.3</v>
      </c>
      <c r="K651" s="1328">
        <v>10.43</v>
      </c>
      <c r="L651" s="258">
        <f>K651*$R$33</f>
        <v>490.55419000000001</v>
      </c>
      <c r="S651" s="1329">
        <f>((J651-L651)/J651)*100%</f>
        <v>-2.9926915809363835E-2</v>
      </c>
      <c r="T651" s="237">
        <f>((I651-L651)/I651)*100%</f>
        <v>3.745148055199643E-2</v>
      </c>
      <c r="U651" s="238">
        <v>8.4250000000000007</v>
      </c>
      <c r="V651" s="239">
        <f>U651*$X$31</f>
        <v>10.110000000000001</v>
      </c>
      <c r="W651" s="239">
        <f>V651*$R$33</f>
        <v>475.50363000000004</v>
      </c>
      <c r="X651" s="240">
        <f>(ROUND(W651/(1-$AA$649),0))</f>
        <v>580</v>
      </c>
      <c r="Y651" s="239">
        <f>Z651*(1-$X$591)</f>
        <v>559.15</v>
      </c>
      <c r="Z651" s="240">
        <f>ROUND(X651/(1-$X$590),0)</f>
        <v>1055</v>
      </c>
      <c r="AA651" s="241">
        <f>((X651-W651)/X651)*100%</f>
        <v>0.18016615517241372</v>
      </c>
      <c r="AB651" s="241">
        <f>((Y651-W651)/Y651)*100%</f>
        <v>0.14959558258070274</v>
      </c>
      <c r="AC651" s="265">
        <f>((Y651/I651)-1)*100%</f>
        <v>9.7144852945504789E-2</v>
      </c>
      <c r="AD651" s="1004"/>
      <c r="AE651" s="238">
        <f>N651/$R$33</f>
        <v>0</v>
      </c>
      <c r="AF651" s="239">
        <f>(V651/(1-$AA$649))</f>
        <v>12.329268292682928</v>
      </c>
      <c r="AG651" s="1868">
        <v>22.42</v>
      </c>
      <c r="AH651" s="244">
        <f>((AF651-V651)/AF651)*100%</f>
        <v>0.17999999999999994</v>
      </c>
      <c r="AI651" s="92">
        <f>AJ651/$AJ$653</f>
        <v>0.89189189189189189</v>
      </c>
      <c r="AJ651" s="86">
        <v>66</v>
      </c>
      <c r="AK651" s="865">
        <f>K651*S651*AJ651</f>
        <v>-20.601090304849876</v>
      </c>
      <c r="AL651" s="92">
        <f>AK651/$AK$653</f>
        <v>0.84810359216374831</v>
      </c>
      <c r="AM651" s="92">
        <f>AJ651/$AJ$745</f>
        <v>1.1220482480746672E-3</v>
      </c>
      <c r="AN651" s="92">
        <f>AK651/$AK$745</f>
        <v>-8.0717775841404019E-4</v>
      </c>
      <c r="AO651" s="13"/>
      <c r="AP651" s="13"/>
    </row>
    <row r="652" spans="1:42" ht="15.75" thickBot="1">
      <c r="B652" s="1277" t="s">
        <v>1306</v>
      </c>
      <c r="C652" s="276" t="s">
        <v>209</v>
      </c>
      <c r="D652" s="1279">
        <v>1100</v>
      </c>
      <c r="E652" s="276">
        <v>4</v>
      </c>
      <c r="F652" s="1330">
        <v>12</v>
      </c>
      <c r="G652" s="339">
        <v>1295</v>
      </c>
      <c r="H652" s="360">
        <f>G652*(1+$H$33)</f>
        <v>1385.65</v>
      </c>
      <c r="I652" s="360">
        <f>H652-H652*$J$594</f>
        <v>762.10750000000007</v>
      </c>
      <c r="J652" s="887">
        <f>G652-G652*$J$594</f>
        <v>712.25</v>
      </c>
      <c r="K652" s="331">
        <v>15.591581722319861</v>
      </c>
      <c r="L652" s="382">
        <f>K652*$R$33</f>
        <v>733.31886314587007</v>
      </c>
      <c r="S652" s="1274">
        <f>((J652-L652)/J652)*100%</f>
        <v>-2.9580713437515012E-2</v>
      </c>
      <c r="T652" s="260">
        <f>((I652-L652)/I652)*100%</f>
        <v>3.7775034170546805E-2</v>
      </c>
      <c r="U652" s="261">
        <v>12.6</v>
      </c>
      <c r="V652" s="239">
        <f>U652*$X$31</f>
        <v>15.12</v>
      </c>
      <c r="W652" s="239">
        <f>V652*$R$33</f>
        <v>711.13896</v>
      </c>
      <c r="X652" s="240">
        <f>(ROUND(W652/(1-$AA$649),0))</f>
        <v>867</v>
      </c>
      <c r="Y652" s="239">
        <f>Z652*(1-$X$591)</f>
        <v>835.28000000000009</v>
      </c>
      <c r="Z652" s="240">
        <f>ROUND(X652/(1-$X$590),0)</f>
        <v>1576</v>
      </c>
      <c r="AA652" s="241">
        <f>((X652-W652)/X652)*100%</f>
        <v>0.17977051903114188</v>
      </c>
      <c r="AB652" s="241">
        <f>((Y652-W652)/Y652)*100%</f>
        <v>0.14862206685183421</v>
      </c>
      <c r="AC652" s="265">
        <f>((Y652/I652)-1)*100%</f>
        <v>9.6013357695600599E-2</v>
      </c>
      <c r="AD652" s="1004"/>
      <c r="AE652" s="238">
        <f>N652/$R$33</f>
        <v>0</v>
      </c>
      <c r="AF652" s="239">
        <f>(V652/(1-$AA$649))</f>
        <v>18.439024390243901</v>
      </c>
      <c r="AG652" s="1868">
        <v>33.53</v>
      </c>
      <c r="AH652" s="244">
        <f>((AF652-V652)/AF652)*100%</f>
        <v>0.18</v>
      </c>
      <c r="AI652" s="77">
        <f>AJ652/$AJ$653</f>
        <v>0.10810810810810811</v>
      </c>
      <c r="AJ652" s="498">
        <v>8</v>
      </c>
      <c r="AK652" s="859">
        <f>K652*S652*AJ652</f>
        <v>-3.6896808877243243</v>
      </c>
      <c r="AL652" s="77">
        <f>AK652/$AK$653</f>
        <v>0.15189640783625166</v>
      </c>
      <c r="AM652" s="77">
        <f>AJ652/$AJ$745</f>
        <v>1.3600584825147481E-4</v>
      </c>
      <c r="AN652" s="77">
        <f>AK652/$AK$745</f>
        <v>-1.4456654012702017E-4</v>
      </c>
      <c r="AO652" s="13"/>
      <c r="AP652" s="13"/>
    </row>
    <row r="653" spans="1:42">
      <c r="B653" s="515"/>
      <c r="C653" s="414"/>
      <c r="D653" s="516"/>
      <c r="E653" s="414"/>
      <c r="F653" s="1331"/>
      <c r="G653" s="827"/>
      <c r="H653" s="785"/>
      <c r="I653" s="785"/>
      <c r="J653" s="897"/>
      <c r="K653" s="533"/>
      <c r="S653" s="1041"/>
      <c r="T653" s="1332"/>
      <c r="U653" s="1333"/>
      <c r="V653" s="1333"/>
      <c r="W653" s="1333"/>
      <c r="X653" s="1333"/>
      <c r="Y653" s="1333"/>
      <c r="Z653" s="1333"/>
      <c r="AA653" s="1043"/>
      <c r="AB653" s="1043"/>
      <c r="AC653" s="1043"/>
      <c r="AD653" s="1043"/>
      <c r="AE653" s="1333"/>
      <c r="AF653" s="1333"/>
      <c r="AG653" s="1893"/>
      <c r="AH653" s="1043"/>
      <c r="AI653" s="1302">
        <f>S651*AI651+S652*AI652</f>
        <v>-2.9889488525920719E-2</v>
      </c>
      <c r="AJ653" s="304">
        <f>SUM(AJ651:AJ652)</f>
        <v>74</v>
      </c>
      <c r="AK653" s="514">
        <f>SUM(AK651:AK652)</f>
        <v>-24.290771192574201</v>
      </c>
      <c r="AL653" s="16"/>
      <c r="AM653" s="307">
        <f>SUM(AM651:AM652)</f>
        <v>1.2580540963261419E-3</v>
      </c>
      <c r="AN653" s="307">
        <f>SUM(AN651:AN652)</f>
        <v>-9.5174429854106039E-4</v>
      </c>
      <c r="AO653" s="13"/>
      <c r="AP653" s="13"/>
    </row>
    <row r="654" spans="1:42">
      <c r="B654" s="413"/>
      <c r="C654" s="414"/>
      <c r="D654" s="414"/>
      <c r="E654" s="414"/>
      <c r="F654" s="414"/>
      <c r="G654" s="827"/>
      <c r="H654" s="785"/>
      <c r="I654" s="785"/>
      <c r="J654" s="897"/>
      <c r="K654" s="533"/>
      <c r="S654" s="151"/>
      <c r="T654" s="10"/>
      <c r="U654" s="847"/>
      <c r="V654" s="847"/>
      <c r="W654" s="847"/>
      <c r="X654" s="847"/>
      <c r="Y654" s="847"/>
      <c r="Z654" s="847"/>
      <c r="AA654" s="10"/>
      <c r="AB654" s="10"/>
      <c r="AC654" s="10"/>
      <c r="AD654" s="10"/>
      <c r="AE654" s="847"/>
      <c r="AF654" s="847"/>
      <c r="AG654" s="1894"/>
      <c r="AH654" s="10"/>
      <c r="AI654" s="16"/>
      <c r="AL654" s="16"/>
      <c r="AO654" s="13"/>
      <c r="AP654" s="13"/>
    </row>
    <row r="655" spans="1:42" ht="15.75" thickBot="1">
      <c r="A655" s="2349" t="s">
        <v>671</v>
      </c>
      <c r="B655" s="2349"/>
      <c r="C655" s="2349"/>
      <c r="D655" s="2349"/>
      <c r="E655" s="2349"/>
      <c r="F655" s="2349"/>
      <c r="G655" s="2349"/>
      <c r="H655" s="2349"/>
      <c r="I655" s="2349"/>
      <c r="J655" s="2349"/>
      <c r="K655" s="533"/>
      <c r="S655" s="151"/>
      <c r="T655" s="1851"/>
      <c r="U655" s="627"/>
      <c r="V655" s="627"/>
      <c r="W655" s="627"/>
      <c r="X655" s="627"/>
      <c r="Y655" s="627"/>
      <c r="Z655" s="627"/>
      <c r="AA655" s="614">
        <v>0.18</v>
      </c>
      <c r="AB655" s="628"/>
      <c r="AC655" s="628"/>
      <c r="AD655" s="1851"/>
      <c r="AE655" s="188"/>
      <c r="AF655" s="188"/>
      <c r="AG655" s="1866"/>
      <c r="AH655" s="1851"/>
      <c r="AI655" s="16"/>
      <c r="AL655" s="16"/>
      <c r="AO655" s="13"/>
      <c r="AP655" s="13"/>
    </row>
    <row r="656" spans="1:42" ht="60.75" thickBot="1">
      <c r="A656" s="149" t="s">
        <v>659</v>
      </c>
      <c r="B656" s="369" t="s">
        <v>10</v>
      </c>
      <c r="C656" s="1334" t="s">
        <v>11</v>
      </c>
      <c r="D656" s="370" t="s">
        <v>12</v>
      </c>
      <c r="E656" s="370" t="s">
        <v>13</v>
      </c>
      <c r="F656" s="370" t="s">
        <v>14</v>
      </c>
      <c r="G656" s="371" t="s">
        <v>15</v>
      </c>
      <c r="H656" s="372" t="s">
        <v>1090</v>
      </c>
      <c r="I656" s="372">
        <f>$C$17</f>
        <v>0.45</v>
      </c>
      <c r="J656" s="684">
        <f>$C$17</f>
        <v>0.45</v>
      </c>
      <c r="K656" s="200" t="s">
        <v>1093</v>
      </c>
      <c r="L656" s="201" t="s">
        <v>1094</v>
      </c>
      <c r="S656" s="202" t="s">
        <v>1095</v>
      </c>
      <c r="T656" s="1335" t="s">
        <v>1095</v>
      </c>
      <c r="U656" s="204" t="s">
        <v>1096</v>
      </c>
      <c r="V656" s="205" t="s">
        <v>1093</v>
      </c>
      <c r="W656" s="206" t="s">
        <v>1094</v>
      </c>
      <c r="X656" s="207" t="s">
        <v>1097</v>
      </c>
      <c r="Y656" s="208">
        <f>$X$591</f>
        <v>0.47</v>
      </c>
      <c r="Z656" s="207" t="s">
        <v>1098</v>
      </c>
      <c r="AA656" s="209" t="s">
        <v>1099</v>
      </c>
      <c r="AB656" s="209" t="s">
        <v>1100</v>
      </c>
      <c r="AC656" s="210" t="s">
        <v>1300</v>
      </c>
      <c r="AD656" s="211" t="s">
        <v>1101</v>
      </c>
      <c r="AE656" s="209" t="s">
        <v>1102</v>
      </c>
      <c r="AF656" s="208" t="s">
        <v>1103</v>
      </c>
      <c r="AG656" s="1867" t="s">
        <v>1104</v>
      </c>
      <c r="AH656" s="213" t="s">
        <v>1116</v>
      </c>
      <c r="AI656" s="220" t="s">
        <v>1106</v>
      </c>
      <c r="AJ656" s="483" t="s">
        <v>1107</v>
      </c>
      <c r="AK656" s="484" t="s">
        <v>1108</v>
      </c>
      <c r="AL656" s="221" t="s">
        <v>1109</v>
      </c>
      <c r="AM656" s="221" t="s">
        <v>1175</v>
      </c>
      <c r="AN656" s="221" t="s">
        <v>1176</v>
      </c>
      <c r="AO656" s="13"/>
      <c r="AP656" s="13"/>
    </row>
    <row r="657" spans="1:42">
      <c r="A657" s="187"/>
      <c r="B657" s="1265" t="s">
        <v>1307</v>
      </c>
      <c r="C657" s="1336" t="s">
        <v>194</v>
      </c>
      <c r="D657" s="1267">
        <v>557</v>
      </c>
      <c r="E657" s="377">
        <v>4</v>
      </c>
      <c r="F657" s="1337">
        <v>20</v>
      </c>
      <c r="G657" s="689">
        <v>744</v>
      </c>
      <c r="H657" s="504">
        <f>G657*(1+$H$33)</f>
        <v>796.08</v>
      </c>
      <c r="I657" s="504">
        <f>H657-H657*$J$594</f>
        <v>437.84399999999999</v>
      </c>
      <c r="J657" s="690">
        <f>G657-G657*$J$594</f>
        <v>409.2</v>
      </c>
      <c r="K657" s="1328">
        <v>8.921926605504586</v>
      </c>
      <c r="L657" s="258">
        <f>K657*$R$33</f>
        <v>419.62497403669721</v>
      </c>
      <c r="S657" s="1329">
        <f>((J657-L657)/J657)*100%</f>
        <v>-2.5476476140511295E-2</v>
      </c>
      <c r="T657" s="696">
        <f>((I657-L657)/I657)*100%</f>
        <v>4.1610769962138992E-2</v>
      </c>
      <c r="U657" s="238">
        <v>7.24</v>
      </c>
      <c r="V657" s="239">
        <f>U657*$X$31</f>
        <v>8.6880000000000006</v>
      </c>
      <c r="W657" s="239">
        <f>V657*$R$33</f>
        <v>408.62270400000006</v>
      </c>
      <c r="X657" s="240">
        <f>(ROUND(W657/(1-$AA$655),0))</f>
        <v>498</v>
      </c>
      <c r="Y657" s="239">
        <f>Z657*(1-$X$591)</f>
        <v>479.65000000000003</v>
      </c>
      <c r="Z657" s="240">
        <f>ROUND(X657/(1-$X$590),0)</f>
        <v>905</v>
      </c>
      <c r="AA657" s="241">
        <f>((X657-W657)/X657)*100%</f>
        <v>0.17947248192771073</v>
      </c>
      <c r="AB657" s="241">
        <f>((Y657-W657)/Y657)*100%</f>
        <v>0.1480815094339622</v>
      </c>
      <c r="AC657" s="265">
        <f>((Y657/I657)-1)*100%</f>
        <v>9.5481495692529839E-2</v>
      </c>
      <c r="AD657" s="1004"/>
      <c r="AE657" s="238">
        <f>N657/$R$33</f>
        <v>0</v>
      </c>
      <c r="AF657" s="239">
        <f>(V657/(1-$AA$655))</f>
        <v>10.595121951219513</v>
      </c>
      <c r="AG657" s="1868">
        <v>19.260000000000002</v>
      </c>
      <c r="AH657" s="244">
        <f>((AF657-V657)/AF657)*100%</f>
        <v>0.18</v>
      </c>
      <c r="AI657" s="92">
        <f>AJ657/$AJ$659</f>
        <v>0.9152542372881356</v>
      </c>
      <c r="AJ657" s="86">
        <f>[1]Статистика!D62</f>
        <v>162</v>
      </c>
      <c r="AK657" s="865">
        <f>K657*S657*AJ657</f>
        <v>-36.822478547389942</v>
      </c>
      <c r="AL657" s="92">
        <f>AK657/$AK$659</f>
        <v>0.85844972348890392</v>
      </c>
      <c r="AM657" s="92">
        <f>AJ657/$AJ$745</f>
        <v>2.7541184270923648E-3</v>
      </c>
      <c r="AN657" s="92">
        <f>AK657/$AK$745</f>
        <v>-1.4427530413831603E-3</v>
      </c>
      <c r="AO657" s="13"/>
      <c r="AP657" s="13"/>
    </row>
    <row r="658" spans="1:42" ht="15.75" thickBot="1">
      <c r="A658" s="187"/>
      <c r="B658" s="1277" t="s">
        <v>1308</v>
      </c>
      <c r="C658" s="1338" t="s">
        <v>209</v>
      </c>
      <c r="D658" s="1279">
        <v>850</v>
      </c>
      <c r="E658" s="276">
        <v>4</v>
      </c>
      <c r="F658" s="1330">
        <v>16</v>
      </c>
      <c r="G658" s="339">
        <v>1127</v>
      </c>
      <c r="H658" s="711">
        <f>G658*(1+$H$33)</f>
        <v>1205.8900000000001</v>
      </c>
      <c r="I658" s="711">
        <f>H658-H658*$J$594</f>
        <v>663.23950000000002</v>
      </c>
      <c r="J658" s="690">
        <f>G658-G658*$J$594</f>
        <v>619.84999999999991</v>
      </c>
      <c r="K658" s="331">
        <v>13.57210053859964</v>
      </c>
      <c r="L658" s="382">
        <f>K658*$R$33</f>
        <v>638.3366046319569</v>
      </c>
      <c r="S658" s="1274">
        <f>((J658-L658)/J658)*100%</f>
        <v>-2.9824319806335396E-2</v>
      </c>
      <c r="T658" s="696">
        <f>((I658-L658)/I658)*100%</f>
        <v>3.7547364666976439E-2</v>
      </c>
      <c r="U658" s="261">
        <v>10.97</v>
      </c>
      <c r="V658" s="239">
        <f>U658*$X$31</f>
        <v>13.164</v>
      </c>
      <c r="W658" s="239">
        <f>V658*$R$33</f>
        <v>619.14241200000004</v>
      </c>
      <c r="X658" s="240">
        <f>(ROUND(W658/(1-$AA$655),0))</f>
        <v>755</v>
      </c>
      <c r="Y658" s="239">
        <f>Z658*(1-$X$591)</f>
        <v>727.69</v>
      </c>
      <c r="Z658" s="240">
        <f>ROUND(X658/(1-$X$590),0)</f>
        <v>1373</v>
      </c>
      <c r="AA658" s="241">
        <f>((X658-W658)/X658)*100%</f>
        <v>0.17994382516556287</v>
      </c>
      <c r="AB658" s="241">
        <f>((Y658-W658)/Y658)*100%</f>
        <v>0.14916734873366408</v>
      </c>
      <c r="AC658" s="265">
        <f>((Y658/I658)-1)*100%</f>
        <v>9.7175303943748848E-2</v>
      </c>
      <c r="AD658" s="1004"/>
      <c r="AE658" s="238">
        <f>N658/$R$33</f>
        <v>0</v>
      </c>
      <c r="AF658" s="239">
        <f>(V658/(1-$AA$655))</f>
        <v>16.053658536585363</v>
      </c>
      <c r="AG658" s="1868">
        <v>29.19</v>
      </c>
      <c r="AH658" s="244">
        <f>((AF658-V658)/AF658)*100%</f>
        <v>0.17999999999999988</v>
      </c>
      <c r="AI658" s="77">
        <f>AJ658/$AJ$659</f>
        <v>8.4745762711864403E-2</v>
      </c>
      <c r="AJ658" s="498">
        <f>[1]Статистика!D63</f>
        <v>15</v>
      </c>
      <c r="AK658" s="859">
        <f>K658*S658*AJ658</f>
        <v>-6.071680003603988</v>
      </c>
      <c r="AL658" s="77">
        <f>AK658/$AK$659</f>
        <v>0.14155027651109611</v>
      </c>
      <c r="AM658" s="77">
        <f>AJ658/$AJ$745</f>
        <v>2.5501096547151525E-4</v>
      </c>
      <c r="AN658" s="77">
        <f>AK658/$AK$745</f>
        <v>-2.3789639201584638E-4</v>
      </c>
      <c r="AO658" s="13"/>
      <c r="AP658" s="13"/>
    </row>
    <row r="659" spans="1:42">
      <c r="A659" s="187"/>
      <c r="B659" s="413"/>
      <c r="C659" s="414"/>
      <c r="D659" s="414"/>
      <c r="E659" s="414"/>
      <c r="F659" s="414"/>
      <c r="G659" s="827"/>
      <c r="H659" s="785"/>
      <c r="I659" s="785"/>
      <c r="J659" s="897"/>
      <c r="K659" s="533"/>
      <c r="S659" s="1041"/>
      <c r="T659" s="1332"/>
      <c r="U659" s="1333"/>
      <c r="V659" s="1333"/>
      <c r="W659" s="1333"/>
      <c r="X659" s="1333"/>
      <c r="Y659" s="1333"/>
      <c r="Z659" s="1333"/>
      <c r="AA659" s="1043"/>
      <c r="AB659" s="1043"/>
      <c r="AC659" s="1043"/>
      <c r="AD659" s="1043"/>
      <c r="AE659" s="1333"/>
      <c r="AF659" s="1333"/>
      <c r="AG659" s="1893"/>
      <c r="AH659" s="1043"/>
      <c r="AI659" s="1302">
        <f>S657*AI657+S658*AI658</f>
        <v>-2.5844937468123507E-2</v>
      </c>
      <c r="AJ659" s="304">
        <f>SUM(AJ657:AJ658)</f>
        <v>177</v>
      </c>
      <c r="AK659" s="514">
        <f>SUM(AK657:AK658)</f>
        <v>-42.894158550993929</v>
      </c>
      <c r="AL659" s="16"/>
      <c r="AM659" s="307">
        <f>SUM(AM657:AM658)</f>
        <v>3.00912939256388E-3</v>
      </c>
      <c r="AN659" s="307">
        <f>SUM(AN657:AN658)</f>
        <v>-1.6806494333990068E-3</v>
      </c>
      <c r="AO659" s="13"/>
      <c r="AP659" s="13"/>
    </row>
    <row r="660" spans="1:42">
      <c r="A660" s="187"/>
      <c r="B660" s="413"/>
      <c r="C660" s="414"/>
      <c r="D660" s="414"/>
      <c r="E660" s="414"/>
      <c r="F660" s="414"/>
      <c r="G660" s="827"/>
      <c r="H660" s="785"/>
      <c r="I660" s="785"/>
      <c r="J660" s="897"/>
      <c r="K660" s="533"/>
      <c r="S660" s="151"/>
      <c r="T660" s="10"/>
      <c r="U660" s="847"/>
      <c r="V660" s="847"/>
      <c r="W660" s="847"/>
      <c r="X660" s="847"/>
      <c r="Y660" s="847"/>
      <c r="Z660" s="847"/>
      <c r="AA660" s="10"/>
      <c r="AB660" s="10"/>
      <c r="AC660" s="10"/>
      <c r="AD660" s="10"/>
      <c r="AE660" s="847"/>
      <c r="AF660" s="847"/>
      <c r="AG660" s="1894"/>
      <c r="AH660" s="10"/>
      <c r="AI660" s="1339"/>
      <c r="AL660" s="16"/>
      <c r="AM660" s="306"/>
      <c r="AO660" s="13"/>
      <c r="AP660" s="13"/>
    </row>
    <row r="661" spans="1:42" ht="15.75" thickBot="1">
      <c r="A661" s="187"/>
      <c r="B661" s="157" t="s">
        <v>670</v>
      </c>
      <c r="G661" s="1340"/>
      <c r="H661" s="1341"/>
      <c r="I661" s="1342"/>
      <c r="J661" s="1343"/>
      <c r="K661" s="533"/>
      <c r="S661" s="151"/>
      <c r="T661" s="1851"/>
      <c r="U661" s="627"/>
      <c r="V661" s="627"/>
      <c r="W661" s="627"/>
      <c r="X661" s="627"/>
      <c r="Y661" s="627"/>
      <c r="Z661" s="627"/>
      <c r="AA661" s="614">
        <v>0.18</v>
      </c>
      <c r="AB661" s="628"/>
      <c r="AC661" s="628"/>
      <c r="AD661" s="1851"/>
      <c r="AE661" s="188"/>
      <c r="AF661" s="188"/>
      <c r="AG661" s="1866"/>
      <c r="AH661" s="1851"/>
      <c r="AI661" s="16"/>
      <c r="AL661" s="16"/>
      <c r="AO661" s="13"/>
      <c r="AP661" s="13"/>
    </row>
    <row r="662" spans="1:42" ht="60.75" thickBot="1">
      <c r="A662" s="149" t="s">
        <v>667</v>
      </c>
      <c r="B662" s="189" t="s">
        <v>10</v>
      </c>
      <c r="C662" s="1326" t="s">
        <v>11</v>
      </c>
      <c r="D662" s="190" t="s">
        <v>12</v>
      </c>
      <c r="E662" s="190" t="s">
        <v>13</v>
      </c>
      <c r="F662" s="190" t="s">
        <v>14</v>
      </c>
      <c r="G662" s="191" t="s">
        <v>15</v>
      </c>
      <c r="H662" s="347" t="s">
        <v>1090</v>
      </c>
      <c r="I662" s="347">
        <f>$C$17</f>
        <v>0.45</v>
      </c>
      <c r="J662" s="873">
        <f>$C$17</f>
        <v>0.45</v>
      </c>
      <c r="K662" s="875" t="s">
        <v>1093</v>
      </c>
      <c r="L662" s="876" t="s">
        <v>1094</v>
      </c>
      <c r="S662" s="202" t="s">
        <v>1095</v>
      </c>
      <c r="T662" s="1335" t="s">
        <v>1095</v>
      </c>
      <c r="U662" s="1344" t="s">
        <v>1096</v>
      </c>
      <c r="V662" s="1345" t="s">
        <v>1093</v>
      </c>
      <c r="W662" s="1346" t="s">
        <v>1094</v>
      </c>
      <c r="X662" s="1347" t="s">
        <v>1097</v>
      </c>
      <c r="Y662" s="1348">
        <f>$X$591</f>
        <v>0.47</v>
      </c>
      <c r="Z662" s="1347" t="s">
        <v>1098</v>
      </c>
      <c r="AA662" s="1349" t="s">
        <v>1099</v>
      </c>
      <c r="AB662" s="1349" t="s">
        <v>1100</v>
      </c>
      <c r="AC662" s="1350" t="s">
        <v>1300</v>
      </c>
      <c r="AD662" s="1351" t="s">
        <v>1101</v>
      </c>
      <c r="AE662" s="1349" t="s">
        <v>1102</v>
      </c>
      <c r="AF662" s="1348" t="s">
        <v>1103</v>
      </c>
      <c r="AG662" s="1895" t="s">
        <v>1104</v>
      </c>
      <c r="AH662" s="1352" t="s">
        <v>1116</v>
      </c>
      <c r="AI662" s="220" t="s">
        <v>1106</v>
      </c>
      <c r="AJ662" s="483" t="s">
        <v>1107</v>
      </c>
      <c r="AK662" s="484" t="s">
        <v>1108</v>
      </c>
      <c r="AL662" s="221" t="s">
        <v>1109</v>
      </c>
      <c r="AM662" s="221" t="s">
        <v>1175</v>
      </c>
      <c r="AN662" s="221" t="s">
        <v>1176</v>
      </c>
      <c r="AO662" s="13"/>
      <c r="AP662" s="13"/>
    </row>
    <row r="663" spans="1:42">
      <c r="A663" s="149"/>
      <c r="B663" s="1353" t="s">
        <v>914</v>
      </c>
      <c r="C663" s="1099" t="s">
        <v>192</v>
      </c>
      <c r="D663" s="1354">
        <v>350</v>
      </c>
      <c r="E663" s="1100">
        <v>5</v>
      </c>
      <c r="F663" s="223">
        <v>30</v>
      </c>
      <c r="G663" s="1355">
        <v>402</v>
      </c>
      <c r="H663" s="453">
        <v>430</v>
      </c>
      <c r="I663" s="453">
        <f>H663-H663*$J$594</f>
        <v>236.5</v>
      </c>
      <c r="J663" s="1045">
        <f>G663-G663*$J$594</f>
        <v>221.1</v>
      </c>
      <c r="K663" s="1356">
        <v>4.871999999999999</v>
      </c>
      <c r="L663" s="1357">
        <f>K663*$R$33</f>
        <v>229.14477599999995</v>
      </c>
      <c r="S663" s="1329">
        <f>((J663-L663)/J663)*100%</f>
        <v>-3.6385237449117848E-2</v>
      </c>
      <c r="T663" s="696">
        <f>((I663-L663)/I663)*100%</f>
        <v>3.1100312896406128E-2</v>
      </c>
      <c r="U663" s="1358">
        <v>4.0599999999999996</v>
      </c>
      <c r="V663" s="1359">
        <f>U663*$X$31</f>
        <v>4.871999999999999</v>
      </c>
      <c r="W663" s="1359">
        <f>V663*$R$33</f>
        <v>229.14477599999995</v>
      </c>
      <c r="X663" s="1360">
        <f>(ROUND(W663/(1-$AA$661),0))</f>
        <v>279</v>
      </c>
      <c r="Y663" s="1359">
        <f>Z663*(1-$X$591)</f>
        <v>268.71000000000004</v>
      </c>
      <c r="Z663" s="1360">
        <f>ROUND(X663/(1-$X$590),0)</f>
        <v>507</v>
      </c>
      <c r="AA663" s="1361">
        <f>((X663-W663)/X663)*100%</f>
        <v>0.17869255913978513</v>
      </c>
      <c r="AB663" s="1361">
        <f>((Y663-W663)/Y663)*100%</f>
        <v>0.1472413531316292</v>
      </c>
      <c r="AC663" s="1362">
        <f>((Y663/I663)-1)*100%</f>
        <v>0.13619450317124748</v>
      </c>
      <c r="AD663" s="1363"/>
      <c r="AE663" s="1364">
        <f>N663/$R$33</f>
        <v>0</v>
      </c>
      <c r="AF663" s="1359">
        <f>(V663/(1-$AA$661))</f>
        <v>5.9414634146341445</v>
      </c>
      <c r="AG663" s="1896">
        <v>10.8</v>
      </c>
      <c r="AH663" s="1365">
        <f>((AF663-V663)/AF663)*100%</f>
        <v>0.17999999999999991</v>
      </c>
      <c r="AI663" s="1366"/>
      <c r="AJ663" s="1367"/>
      <c r="AK663" s="1368"/>
      <c r="AL663" s="1369"/>
      <c r="AM663" s="1369"/>
      <c r="AN663" s="1369"/>
      <c r="AO663" s="13"/>
      <c r="AP663" s="13"/>
    </row>
    <row r="664" spans="1:42">
      <c r="A664" s="187"/>
      <c r="B664" s="1265" t="s">
        <v>666</v>
      </c>
      <c r="C664" s="1370" t="s">
        <v>1309</v>
      </c>
      <c r="D664" s="1371">
        <v>383</v>
      </c>
      <c r="E664" s="377">
        <v>50</v>
      </c>
      <c r="F664" s="377">
        <v>1600</v>
      </c>
      <c r="G664" s="689">
        <v>406</v>
      </c>
      <c r="H664" s="504">
        <f>G664*(1+$H$33)</f>
        <v>434.42</v>
      </c>
      <c r="I664" s="504">
        <f>H664-H664*$J$594</f>
        <v>238.93100000000001</v>
      </c>
      <c r="J664" s="690">
        <f>G664-G664*$J$594</f>
        <v>223.29999999999998</v>
      </c>
      <c r="K664" s="1328">
        <v>4.8899999999999997</v>
      </c>
      <c r="L664" s="258">
        <f>K664*$R$33</f>
        <v>229.99136999999999</v>
      </c>
      <c r="S664" s="1329">
        <f>((J664-L664)/J664)*100%</f>
        <v>-2.9965830721003166E-2</v>
      </c>
      <c r="T664" s="696">
        <f>((I664-L664)/I664)*100%</f>
        <v>3.74151114756981E-2</v>
      </c>
      <c r="U664" s="261">
        <v>4.0233600000000003</v>
      </c>
      <c r="V664" s="1359">
        <f>U664*$X$31</f>
        <v>4.8280320000000003</v>
      </c>
      <c r="W664" s="1359">
        <f>V664*$R$33</f>
        <v>227.07682905600001</v>
      </c>
      <c r="X664" s="1360">
        <f>(ROUND(W664/(1-$AA$661),0))</f>
        <v>277</v>
      </c>
      <c r="Y664" s="1359">
        <f>Z664*(1-$X$591)</f>
        <v>267.12</v>
      </c>
      <c r="Z664" s="1360">
        <f>ROUND(X664/(1-$X$590),0)</f>
        <v>504</v>
      </c>
      <c r="AA664" s="1361">
        <f>((X664-W664)/X664)*100%</f>
        <v>0.18022805394945846</v>
      </c>
      <c r="AB664" s="1361">
        <f>((Y664-W664)/Y664)*100%</f>
        <v>0.14990704905660376</v>
      </c>
      <c r="AC664" s="1362">
        <f>((Y664/I664)-1)*100%</f>
        <v>0.11797966777019298</v>
      </c>
      <c r="AD664" s="1363"/>
      <c r="AE664" s="1364">
        <f>N664/$R$33</f>
        <v>0</v>
      </c>
      <c r="AF664" s="1359">
        <f>(V664/(1-$AA$661))</f>
        <v>5.8878439024390241</v>
      </c>
      <c r="AG664" s="1896">
        <v>10.71</v>
      </c>
      <c r="AH664" s="1365">
        <f>((AF664-V664)/AF664)*100%</f>
        <v>0.17999999999999991</v>
      </c>
      <c r="AI664" s="1372">
        <f>AJ664/$AJ$666</f>
        <v>0.75960813865862853</v>
      </c>
      <c r="AJ664" s="86">
        <f>[1]Статистика!D64</f>
        <v>1008</v>
      </c>
      <c r="AK664" s="865">
        <f>K664*S664*AJ664</f>
        <v>-147.70517552351112</v>
      </c>
      <c r="AL664" s="92">
        <f>AK664/$AK$666</f>
        <v>0.82419367911954622</v>
      </c>
      <c r="AM664" s="92">
        <f>AJ664/$AJ$745</f>
        <v>1.7136736879685827E-2</v>
      </c>
      <c r="AN664" s="92">
        <f>AK664/$AK$745</f>
        <v>-5.7872826496543463E-3</v>
      </c>
      <c r="AO664" s="13"/>
      <c r="AP664" s="13"/>
    </row>
    <row r="665" spans="1:42" ht="15.75" thickBot="1">
      <c r="A665" s="187"/>
      <c r="B665" s="1277" t="s">
        <v>1310</v>
      </c>
      <c r="C665" s="1373" t="s">
        <v>1311</v>
      </c>
      <c r="D665" s="1279">
        <v>400</v>
      </c>
      <c r="E665" s="276">
        <v>40</v>
      </c>
      <c r="F665" s="276">
        <v>800</v>
      </c>
      <c r="G665" s="339">
        <v>421</v>
      </c>
      <c r="H665" s="360">
        <f>G665*(1+$H$33)</f>
        <v>450.47</v>
      </c>
      <c r="I665" s="360">
        <f>H665-H665*$J$594</f>
        <v>247.7585</v>
      </c>
      <c r="J665" s="887">
        <f>G665-G665*$J$594</f>
        <v>231.54999999999998</v>
      </c>
      <c r="K665" s="331">
        <v>5.0199999999999996</v>
      </c>
      <c r="L665" s="382">
        <f>K665*$R$33</f>
        <v>236.10566</v>
      </c>
      <c r="S665" s="1274">
        <f>((J665-L665)/J665)*100%</f>
        <v>-1.9674627510257042E-2</v>
      </c>
      <c r="T665" s="696">
        <f>((I665-L665)/I665)*100%</f>
        <v>4.7033058401628997E-2</v>
      </c>
      <c r="U665" s="261">
        <v>4.1718600000000006</v>
      </c>
      <c r="V665" s="1359">
        <f>U665*$X$31</f>
        <v>5.0062320000000007</v>
      </c>
      <c r="W665" s="1359">
        <f>V665*$R$33</f>
        <v>235.45810965600003</v>
      </c>
      <c r="X665" s="1360">
        <f>(ROUND(W665/(1-$AA$661),0))</f>
        <v>287</v>
      </c>
      <c r="Y665" s="1359">
        <f>Z665*(1-$X$591)</f>
        <v>276.66000000000003</v>
      </c>
      <c r="Z665" s="1360">
        <f>ROUND(X665/(1-$X$590),0)</f>
        <v>522</v>
      </c>
      <c r="AA665" s="1361">
        <f>((X665-W665)/X665)*100%</f>
        <v>0.17958846809756085</v>
      </c>
      <c r="AB665" s="1361">
        <f>((Y665-W665)/Y665)*100%</f>
        <v>0.14892608379960959</v>
      </c>
      <c r="AC665" s="1362">
        <f>((Y665/I665)-1)*100%</f>
        <v>0.11665190094386269</v>
      </c>
      <c r="AD665" s="1363"/>
      <c r="AE665" s="1364">
        <f>N665/$R$33</f>
        <v>0</v>
      </c>
      <c r="AF665" s="1359">
        <f>(V665/(1-$AA$661))</f>
        <v>6.1051609756097562</v>
      </c>
      <c r="AG665" s="1896">
        <f>AF665/(1-$X$590)</f>
        <v>11.100292682926829</v>
      </c>
      <c r="AH665" s="1365">
        <f>((AF665-V665)/AF665)*100%</f>
        <v>0.17999999999999991</v>
      </c>
      <c r="AI665" s="1374">
        <f>AJ665/$AJ$666</f>
        <v>0.24039186134137153</v>
      </c>
      <c r="AJ665" s="498">
        <f>[1]Статистика!D65</f>
        <v>319</v>
      </c>
      <c r="AK665" s="859">
        <f>K665*S665*AJ665</f>
        <v>-31.506555002375418</v>
      </c>
      <c r="AL665" s="77">
        <f>AK665/$AK$666</f>
        <v>0.17580632088045375</v>
      </c>
      <c r="AM665" s="77">
        <f>AJ665/$AJ$745</f>
        <v>5.4232331990275578E-3</v>
      </c>
      <c r="AN665" s="77">
        <f>AK665/$AK$745</f>
        <v>-1.2344681793943224E-3</v>
      </c>
      <c r="AO665" s="13"/>
      <c r="AP665" s="13"/>
    </row>
    <row r="666" spans="1:42">
      <c r="A666" s="187"/>
      <c r="E666" s="157"/>
      <c r="J666" s="532"/>
      <c r="K666" s="533"/>
      <c r="S666" s="1041"/>
      <c r="T666" s="1332"/>
      <c r="U666" s="1333"/>
      <c r="V666" s="1333"/>
      <c r="W666" s="1333"/>
      <c r="X666" s="1333"/>
      <c r="Y666" s="1333"/>
      <c r="Z666" s="1333"/>
      <c r="AA666" s="1043"/>
      <c r="AB666" s="1043"/>
      <c r="AC666" s="1043"/>
      <c r="AD666" s="1043"/>
      <c r="AE666" s="1333"/>
      <c r="AF666" s="1333"/>
      <c r="AG666" s="1893"/>
      <c r="AH666" s="1043"/>
      <c r="AI666" s="1302">
        <f>S664*AI664+S665*AI665</f>
        <v>-2.7491909225729607E-2</v>
      </c>
      <c r="AJ666" s="304">
        <f>SUM(AJ664:AJ665)</f>
        <v>1327</v>
      </c>
      <c r="AK666" s="514">
        <f>SUM(AK664:AK665)</f>
        <v>-179.21173052588654</v>
      </c>
      <c r="AL666" s="16"/>
      <c r="AM666" s="307">
        <f>SUM(AM664:AM665)</f>
        <v>2.2559970078713385E-2</v>
      </c>
      <c r="AN666" s="307">
        <f>SUM(AN664:AN665)</f>
        <v>-7.0217508290486685E-3</v>
      </c>
      <c r="AO666" s="13"/>
      <c r="AP666" s="13"/>
    </row>
    <row r="667" spans="1:42">
      <c r="A667" s="187"/>
      <c r="E667" s="157"/>
      <c r="J667" s="532"/>
      <c r="K667" s="533"/>
      <c r="AI667" s="16"/>
      <c r="AL667" s="16"/>
      <c r="AO667" s="13"/>
      <c r="AP667" s="13"/>
    </row>
    <row r="668" spans="1:42" ht="15.75" thickBot="1">
      <c r="A668" s="187"/>
      <c r="B668" s="157" t="s">
        <v>669</v>
      </c>
      <c r="J668" s="532"/>
      <c r="K668" s="2309" t="s">
        <v>1312</v>
      </c>
      <c r="L668" s="2309"/>
      <c r="M668" s="2309"/>
      <c r="N668" s="2309"/>
      <c r="O668" s="2309"/>
      <c r="P668" s="1852"/>
      <c r="T668" s="1851"/>
      <c r="U668" s="627"/>
      <c r="V668" s="627"/>
      <c r="W668" s="627"/>
      <c r="X668" s="627"/>
      <c r="Y668" s="627"/>
      <c r="Z668" s="627"/>
      <c r="AA668" s="614">
        <v>0.38</v>
      </c>
      <c r="AB668" s="628">
        <v>0.24</v>
      </c>
      <c r="AC668" s="628">
        <v>0.22</v>
      </c>
      <c r="AD668" s="1851"/>
      <c r="AE668" s="188"/>
      <c r="AF668" s="188"/>
      <c r="AG668" s="1866"/>
      <c r="AH668" s="1851"/>
      <c r="AI668" s="16"/>
      <c r="AL668" s="16"/>
      <c r="AO668" s="13"/>
      <c r="AP668" s="13"/>
    </row>
    <row r="669" spans="1:42" ht="60.75" thickBot="1">
      <c r="A669" s="149" t="s">
        <v>668</v>
      </c>
      <c r="B669" s="189" t="s">
        <v>10</v>
      </c>
      <c r="C669" s="1326" t="s">
        <v>11</v>
      </c>
      <c r="D669" s="190" t="s">
        <v>12</v>
      </c>
      <c r="E669" s="190" t="s">
        <v>13</v>
      </c>
      <c r="F669" s="190" t="s">
        <v>14</v>
      </c>
      <c r="G669" s="191" t="s">
        <v>15</v>
      </c>
      <c r="H669" s="347" t="s">
        <v>1090</v>
      </c>
      <c r="I669" s="347">
        <f>$C$17</f>
        <v>0.45</v>
      </c>
      <c r="J669" s="873">
        <f>$C$17</f>
        <v>0.45</v>
      </c>
      <c r="K669" s="548" t="s">
        <v>15</v>
      </c>
      <c r="L669" s="423" t="s">
        <v>12</v>
      </c>
      <c r="M669" s="196" t="s">
        <v>1091</v>
      </c>
      <c r="N669" s="549" t="s">
        <v>993</v>
      </c>
      <c r="O669" s="424" t="s">
        <v>1092</v>
      </c>
      <c r="P669" s="1375" t="s">
        <v>1092</v>
      </c>
      <c r="Q669" s="875" t="s">
        <v>1093</v>
      </c>
      <c r="R669" s="876" t="s">
        <v>1094</v>
      </c>
      <c r="S669" s="1126" t="s">
        <v>1095</v>
      </c>
      <c r="T669" s="1376" t="s">
        <v>1095</v>
      </c>
      <c r="U669" s="204" t="s">
        <v>1096</v>
      </c>
      <c r="V669" s="205" t="s">
        <v>1093</v>
      </c>
      <c r="W669" s="206" t="s">
        <v>1094</v>
      </c>
      <c r="X669" s="207" t="s">
        <v>1097</v>
      </c>
      <c r="Y669" s="208">
        <f>$X$591</f>
        <v>0.47</v>
      </c>
      <c r="Z669" s="207" t="s">
        <v>1098</v>
      </c>
      <c r="AA669" s="209" t="s">
        <v>1099</v>
      </c>
      <c r="AB669" s="209" t="s">
        <v>1100</v>
      </c>
      <c r="AC669" s="210" t="s">
        <v>1092</v>
      </c>
      <c r="AD669" s="211" t="s">
        <v>1101</v>
      </c>
      <c r="AE669" s="209" t="s">
        <v>1102</v>
      </c>
      <c r="AF669" s="208" t="s">
        <v>1103</v>
      </c>
      <c r="AG669" s="1867" t="s">
        <v>1104</v>
      </c>
      <c r="AH669" s="213" t="s">
        <v>1116</v>
      </c>
      <c r="AI669" s="220" t="s">
        <v>1106</v>
      </c>
      <c r="AJ669" s="483" t="s">
        <v>1107</v>
      </c>
      <c r="AK669" s="484" t="s">
        <v>1108</v>
      </c>
      <c r="AL669" s="221" t="s">
        <v>1109</v>
      </c>
      <c r="AM669" s="221" t="s">
        <v>1175</v>
      </c>
      <c r="AN669" s="221" t="s">
        <v>1176</v>
      </c>
      <c r="AO669" s="13"/>
      <c r="AP669" s="13"/>
    </row>
    <row r="670" spans="1:42" ht="15.75">
      <c r="A670" s="187"/>
      <c r="B670" s="1304" t="s">
        <v>661</v>
      </c>
      <c r="C670" s="1377" t="s">
        <v>664</v>
      </c>
      <c r="D670" s="1306">
        <v>98</v>
      </c>
      <c r="E670" s="224">
        <v>50</v>
      </c>
      <c r="F670" s="1308">
        <v>245</v>
      </c>
      <c r="G670" s="396">
        <v>145</v>
      </c>
      <c r="H670" s="1378">
        <f>G670*(1+$H$33)</f>
        <v>155.15</v>
      </c>
      <c r="I670" s="1378">
        <f>H670-H670*$J$594</f>
        <v>85.332499999999996</v>
      </c>
      <c r="J670" s="1039">
        <f>G670-G670*$J$594</f>
        <v>79.75</v>
      </c>
      <c r="K670" s="1118">
        <v>180</v>
      </c>
      <c r="L670" s="808">
        <v>98</v>
      </c>
      <c r="M670" s="1119">
        <f>L670/D670*100%</f>
        <v>1</v>
      </c>
      <c r="N670" s="235">
        <f>K670-(K670*$O$33)</f>
        <v>90</v>
      </c>
      <c r="O670" s="880">
        <f>((N670/J670)-1)*100%</f>
        <v>0.12852664576802497</v>
      </c>
      <c r="P670" s="472">
        <f>((N670/I670)-1)*100%</f>
        <v>5.4697799783200995E-2</v>
      </c>
      <c r="Q670" s="336">
        <v>1.1212020403637171</v>
      </c>
      <c r="R670" s="382">
        <f>Q670*$R$33</f>
        <v>52.733495564426704</v>
      </c>
      <c r="S670" s="918">
        <f>((J670-R670)/J670)*100%</f>
        <v>0.33876494590060557</v>
      </c>
      <c r="T670" s="696">
        <f>((I670-R670)/I670)*100%</f>
        <v>0.38202331392579958</v>
      </c>
      <c r="U670" s="238">
        <v>0.91872000000000009</v>
      </c>
      <c r="V670" s="239">
        <f>U670*$X$31</f>
        <v>1.1024640000000001</v>
      </c>
      <c r="W670" s="239">
        <f>V670*$R$33</f>
        <v>51.852189312000007</v>
      </c>
      <c r="X670" s="240">
        <f>(ROUND(W670/(1-$AA$668),0))</f>
        <v>84</v>
      </c>
      <c r="Y670" s="239">
        <f>Z670*(1-$X$591)</f>
        <v>81.09</v>
      </c>
      <c r="Z670" s="240">
        <f>ROUND(X670/(1-$X$590),0)</f>
        <v>153</v>
      </c>
      <c r="AA670" s="241">
        <f>((X670-W670)/X670)*100%</f>
        <v>0.38271203199999992</v>
      </c>
      <c r="AB670" s="241">
        <f>((Y670-W670)/Y670)*100%</f>
        <v>0.36056000355160928</v>
      </c>
      <c r="AC670" s="1198">
        <f>((N670/Y670)-1)*100%</f>
        <v>0.10987791342952269</v>
      </c>
      <c r="AD670" s="1004">
        <f>((N670*0.96-W670)/(N670*0.96))*100%</f>
        <v>0.39985891999999984</v>
      </c>
      <c r="AE670" s="238">
        <f>N670/$R$33</f>
        <v>1.9135500605957518</v>
      </c>
      <c r="AF670" s="239">
        <f>(V670/(1-$AA$668))</f>
        <v>1.778167741935484</v>
      </c>
      <c r="AG670" s="1868">
        <v>3.23</v>
      </c>
      <c r="AH670" s="244">
        <f>((AF670-V670)/AF670)*100%</f>
        <v>0.38</v>
      </c>
      <c r="AI670" s="77">
        <f>AJ670/$AJ$673</f>
        <v>0.2371392722710163</v>
      </c>
      <c r="AJ670" s="498">
        <f>[1]Статистика!D58</f>
        <v>567</v>
      </c>
      <c r="AK670" s="859">
        <f>Q670*S670*AJ670</f>
        <v>215.36017882641164</v>
      </c>
      <c r="AL670" s="77">
        <f>AK670/$AK$673</f>
        <v>0.34405444476762059</v>
      </c>
      <c r="AM670" s="77">
        <f>AJ670/$AJ$745</f>
        <v>9.6394144948232768E-3</v>
      </c>
      <c r="AN670" s="77">
        <f>AK670/$AK$745</f>
        <v>8.4380944806511562E-3</v>
      </c>
      <c r="AO670" s="13"/>
      <c r="AP670" s="13"/>
    </row>
    <row r="671" spans="1:42" ht="16.5" thickBot="1">
      <c r="A671" s="187"/>
      <c r="B671" s="1275" t="s">
        <v>662</v>
      </c>
      <c r="C671" s="1379" t="s">
        <v>665</v>
      </c>
      <c r="D671" s="1267">
        <v>115</v>
      </c>
      <c r="E671" s="251">
        <v>40</v>
      </c>
      <c r="F671" s="1268">
        <v>196</v>
      </c>
      <c r="G671" s="328">
        <v>132</v>
      </c>
      <c r="H671" s="453">
        <f>G671*(1+$H$33)</f>
        <v>141.24</v>
      </c>
      <c r="I671" s="453">
        <f>H671-H671*$J$594</f>
        <v>77.682000000000002</v>
      </c>
      <c r="J671" s="884">
        <f>G671-G671*$J$594</f>
        <v>72.599999999999994</v>
      </c>
      <c r="K671" s="900">
        <v>167</v>
      </c>
      <c r="L671" s="341">
        <v>114</v>
      </c>
      <c r="M671" s="896">
        <f>L671/D671*100%</f>
        <v>0.99130434782608701</v>
      </c>
      <c r="N671" s="390">
        <f>K671-(K671*$O$33)</f>
        <v>83.5</v>
      </c>
      <c r="O671" s="391">
        <f>((N671/J671)-1)*100%</f>
        <v>0.15013774104683208</v>
      </c>
      <c r="P671" s="475">
        <f>((N671/I671)-1)*100%</f>
        <v>7.4895085090497027E-2</v>
      </c>
      <c r="Q671" s="331">
        <v>1.27</v>
      </c>
      <c r="R671" s="382">
        <f>Q671*$R$33</f>
        <v>59.731909999999999</v>
      </c>
      <c r="S671" s="918">
        <f>((J671-R671)/J671)*100%</f>
        <v>0.17724641873278232</v>
      </c>
      <c r="T671" s="696">
        <f>((I671-R671)/I671)*100%</f>
        <v>0.23107141937643216</v>
      </c>
      <c r="U671" s="261">
        <v>1.0731600000000001</v>
      </c>
      <c r="V671" s="239">
        <f>U671*$X$31</f>
        <v>1.287792</v>
      </c>
      <c r="W671" s="239">
        <f>V671*$R$33</f>
        <v>60.568721136000001</v>
      </c>
      <c r="X671" s="240">
        <f>(ROUND(W671/(1-$AB$668),0))</f>
        <v>80</v>
      </c>
      <c r="Y671" s="239">
        <f>Z671*(1-$X$591)</f>
        <v>76.850000000000009</v>
      </c>
      <c r="Z671" s="240">
        <f>ROUND(X671/(1-$X$590),0)</f>
        <v>145</v>
      </c>
      <c r="AA671" s="241">
        <f>((X671-W671)/X671)*100%</f>
        <v>0.24289098579999999</v>
      </c>
      <c r="AB671" s="241">
        <f>((Y671-W671)/Y671)*100%</f>
        <v>0.21185789022771642</v>
      </c>
      <c r="AC671" s="1198">
        <f>((N671/Y671)-1)*100%</f>
        <v>8.6532205595315492E-2</v>
      </c>
      <c r="AD671" s="1004">
        <f>((N671*0.96-W671)/(N671*0.96))*100%</f>
        <v>0.24440218143712572</v>
      </c>
      <c r="AE671" s="238">
        <f>N671/$R$33</f>
        <v>1.7753492228860588</v>
      </c>
      <c r="AF671" s="239">
        <f>(V671/(1-$AB$668))</f>
        <v>1.6944631578947369</v>
      </c>
      <c r="AG671" s="1868">
        <v>3.08</v>
      </c>
      <c r="AH671" s="244">
        <f>((AF671-V671)/AF671)*100%</f>
        <v>0.24</v>
      </c>
      <c r="AI671" s="92">
        <f>AJ671/$AJ$673</f>
        <v>0.76286072772898372</v>
      </c>
      <c r="AJ671" s="86">
        <f>[1]Статистика!D59</f>
        <v>1824</v>
      </c>
      <c r="AK671" s="865">
        <f>Q671*S671*AJ671</f>
        <v>410.5877840661156</v>
      </c>
      <c r="AL671" s="92">
        <f>AK671/$AK$673</f>
        <v>0.65594555523237941</v>
      </c>
      <c r="AM671" s="92">
        <f>AJ671/$AJ$745</f>
        <v>3.1009333401336256E-2</v>
      </c>
      <c r="AN671" s="92">
        <f>AK671/$AK$745</f>
        <v>1.6087368302863728E-2</v>
      </c>
      <c r="AO671" s="13"/>
      <c r="AP671" s="13"/>
    </row>
    <row r="672" spans="1:42" ht="16.5" thickBot="1">
      <c r="A672" s="187"/>
      <c r="B672" s="1380" t="s">
        <v>915</v>
      </c>
      <c r="C672" s="1381" t="s">
        <v>916</v>
      </c>
      <c r="D672" s="1382">
        <v>260</v>
      </c>
      <c r="E672" s="790">
        <v>2</v>
      </c>
      <c r="F672" s="1383">
        <v>100</v>
      </c>
      <c r="G672" s="339">
        <v>260</v>
      </c>
      <c r="H672" s="1031">
        <v>278</v>
      </c>
      <c r="I672" s="1031">
        <f>H672-H672*$I$669</f>
        <v>152.89999999999998</v>
      </c>
      <c r="J672" s="884">
        <f>G672-G672*$J$594</f>
        <v>143</v>
      </c>
      <c r="K672" s="1384"/>
      <c r="L672" s="455"/>
      <c r="M672" s="1385"/>
      <c r="N672" s="1386"/>
      <c r="O672" s="458"/>
      <c r="P672" s="475"/>
      <c r="Q672" s="1387">
        <v>2.9615999999999998</v>
      </c>
      <c r="R672" s="382">
        <f>Q672*$R$33</f>
        <v>139.29293279999999</v>
      </c>
      <c r="S672" s="918">
        <f>((J672-R672)/J672)*100%</f>
        <v>2.5923546853146934E-2</v>
      </c>
      <c r="T672" s="696">
        <f>((I672-R672)/I672)*100%</f>
        <v>8.8993245258338724E-2</v>
      </c>
      <c r="U672" s="261">
        <v>2.468</v>
      </c>
      <c r="V672" s="239">
        <f>U672*$X$31</f>
        <v>2.9615999999999998</v>
      </c>
      <c r="W672" s="239">
        <f>V672*$R$33</f>
        <v>139.29293279999999</v>
      </c>
      <c r="X672" s="240">
        <f>(ROUND(W672/(1-$AC$668),0))</f>
        <v>179</v>
      </c>
      <c r="Y672" s="239">
        <f>Z672*(1-$X$591)</f>
        <v>172.25</v>
      </c>
      <c r="Z672" s="240">
        <f>ROUND(X672/(1-$X$590),0)</f>
        <v>325</v>
      </c>
      <c r="AA672" s="241">
        <f>((X672-W672)/X672)*100%</f>
        <v>0.22182719106145257</v>
      </c>
      <c r="AB672" s="241">
        <f>((Y672-W672)/Y672)*100%</f>
        <v>0.19133275587808424</v>
      </c>
      <c r="AC672" s="265"/>
      <c r="AD672" s="1004"/>
      <c r="AE672" s="238"/>
      <c r="AF672" s="239">
        <f>(V672/(1-$AC$668))</f>
        <v>3.7969230769230764</v>
      </c>
      <c r="AG672" s="1868">
        <v>6.9</v>
      </c>
      <c r="AH672" s="244">
        <f>((AF672-V672)/AF672)*100%</f>
        <v>0.21999999999999995</v>
      </c>
      <c r="AI672" s="1388"/>
      <c r="AJ672" s="1389"/>
      <c r="AK672" s="1390"/>
      <c r="AL672" s="1388"/>
      <c r="AM672" s="1388"/>
      <c r="AN672" s="1388"/>
      <c r="AO672" s="13"/>
      <c r="AP672" s="13"/>
    </row>
    <row r="673" spans="1:42" ht="15.75" thickBot="1">
      <c r="A673" s="187"/>
      <c r="B673" s="413"/>
      <c r="C673" s="414"/>
      <c r="D673" s="414"/>
      <c r="E673" s="414"/>
      <c r="F673" s="414"/>
      <c r="G673" s="827"/>
      <c r="H673" s="785"/>
      <c r="I673" s="785"/>
      <c r="J673" s="897"/>
      <c r="K673" s="533"/>
      <c r="P673" s="886"/>
      <c r="Q673" s="1091"/>
      <c r="R673" s="1092"/>
      <c r="S673" s="364"/>
      <c r="T673" s="365"/>
      <c r="U673" s="366"/>
      <c r="V673" s="366"/>
      <c r="W673" s="366"/>
      <c r="X673" s="366"/>
      <c r="Y673" s="366"/>
      <c r="Z673" s="366"/>
      <c r="AA673" s="367"/>
      <c r="AB673" s="367"/>
      <c r="AC673" s="367"/>
      <c r="AD673" s="367"/>
      <c r="AE673" s="366"/>
      <c r="AF673" s="366"/>
      <c r="AG673" s="1872"/>
      <c r="AH673" s="367"/>
      <c r="AI673" s="1302">
        <f>S670*AI670+S671*AI671</f>
        <v>0.21554880472364629</v>
      </c>
      <c r="AJ673" s="304">
        <f>SUM(AJ670:AJ671)</f>
        <v>2391</v>
      </c>
      <c r="AK673" s="514">
        <f>SUM(AK670:AK671)</f>
        <v>625.94796289252724</v>
      </c>
      <c r="AL673" s="16"/>
      <c r="AM673" s="307">
        <f>SUM(AM670:AM671)</f>
        <v>4.0648747896159534E-2</v>
      </c>
      <c r="AN673" s="307">
        <f>SUM(AN670:AN671)</f>
        <v>2.4525462783514883E-2</v>
      </c>
      <c r="AO673" s="13"/>
      <c r="AP673" s="13"/>
    </row>
    <row r="674" spans="1:42">
      <c r="A674" s="187"/>
      <c r="B674" s="413"/>
      <c r="C674" s="2366" t="s">
        <v>1313</v>
      </c>
      <c r="D674" s="2366"/>
      <c r="E674" s="2366"/>
      <c r="F674" s="2366"/>
      <c r="G674" s="2366"/>
      <c r="H674" s="2366"/>
      <c r="I674" s="2366"/>
      <c r="J674" s="2366"/>
      <c r="K674" s="2366"/>
      <c r="L674" s="2366"/>
      <c r="M674" s="2366"/>
      <c r="AI674" s="16"/>
      <c r="AL674" s="16"/>
      <c r="AO674" s="13"/>
      <c r="AP674" s="13"/>
    </row>
    <row r="675" spans="1:42" ht="15.75" thickBot="1">
      <c r="A675" s="2349" t="s">
        <v>76</v>
      </c>
      <c r="B675" s="2349"/>
      <c r="C675" s="2349"/>
      <c r="D675" s="2349"/>
      <c r="E675" s="2349"/>
      <c r="F675" s="2349"/>
      <c r="G675" s="2349"/>
      <c r="H675" s="1841"/>
      <c r="J675" s="532"/>
      <c r="K675" s="1850" t="s">
        <v>1314</v>
      </c>
      <c r="L675" s="1850"/>
      <c r="M675" s="1850"/>
      <c r="N675" s="898"/>
      <c r="O675" s="899"/>
      <c r="P675" s="459"/>
      <c r="T675" s="1851"/>
      <c r="U675" s="627"/>
      <c r="V675" s="627"/>
      <c r="W675" s="627"/>
      <c r="X675" s="627"/>
      <c r="Y675" s="627"/>
      <c r="Z675" s="627"/>
      <c r="AA675" s="614">
        <v>0.22</v>
      </c>
      <c r="AB675" s="628">
        <v>0.32</v>
      </c>
      <c r="AC675" s="628">
        <v>0.2</v>
      </c>
      <c r="AD675" s="1851"/>
      <c r="AE675" s="188"/>
      <c r="AF675" s="188"/>
      <c r="AG675" s="1866"/>
      <c r="AH675" s="1851"/>
      <c r="AI675" s="16"/>
      <c r="AL675" s="16"/>
      <c r="AO675" s="13"/>
      <c r="AP675" s="13"/>
    </row>
    <row r="676" spans="1:42" ht="60.75" thickBot="1">
      <c r="A676" s="149" t="s">
        <v>612</v>
      </c>
      <c r="B676" s="369" t="s">
        <v>10</v>
      </c>
      <c r="C676" s="1334" t="s">
        <v>11</v>
      </c>
      <c r="D676" s="370" t="s">
        <v>12</v>
      </c>
      <c r="E676" s="370" t="s">
        <v>13</v>
      </c>
      <c r="F676" s="370" t="s">
        <v>14</v>
      </c>
      <c r="G676" s="371" t="s">
        <v>15</v>
      </c>
      <c r="H676" s="372" t="s">
        <v>1090</v>
      </c>
      <c r="I676" s="372">
        <f>$C$17</f>
        <v>0.45</v>
      </c>
      <c r="J676" s="684">
        <f>$C$17</f>
        <v>0.45</v>
      </c>
      <c r="K676" s="548" t="s">
        <v>15</v>
      </c>
      <c r="L676" s="423" t="s">
        <v>12</v>
      </c>
      <c r="M676" s="196" t="s">
        <v>1091</v>
      </c>
      <c r="N676" s="549" t="s">
        <v>993</v>
      </c>
      <c r="O676" s="424" t="s">
        <v>1092</v>
      </c>
      <c r="P676" s="772" t="s">
        <v>1092</v>
      </c>
      <c r="Q676" s="200" t="s">
        <v>1093</v>
      </c>
      <c r="R676" s="201" t="s">
        <v>1094</v>
      </c>
      <c r="S676" s="350" t="s">
        <v>1095</v>
      </c>
      <c r="T676" s="1376" t="s">
        <v>1095</v>
      </c>
      <c r="U676" s="204" t="s">
        <v>1096</v>
      </c>
      <c r="V676" s="205" t="s">
        <v>1093</v>
      </c>
      <c r="W676" s="206" t="s">
        <v>1094</v>
      </c>
      <c r="X676" s="207" t="s">
        <v>1097</v>
      </c>
      <c r="Y676" s="208">
        <f>$X$591</f>
        <v>0.47</v>
      </c>
      <c r="Z676" s="207" t="s">
        <v>1098</v>
      </c>
      <c r="AA676" s="209" t="s">
        <v>1099</v>
      </c>
      <c r="AB676" s="209" t="s">
        <v>1100</v>
      </c>
      <c r="AC676" s="210" t="s">
        <v>1092</v>
      </c>
      <c r="AD676" s="211" t="s">
        <v>1101</v>
      </c>
      <c r="AE676" s="209" t="s">
        <v>1102</v>
      </c>
      <c r="AF676" s="208" t="s">
        <v>1103</v>
      </c>
      <c r="AG676" s="1867" t="s">
        <v>1104</v>
      </c>
      <c r="AH676" s="213" t="s">
        <v>1116</v>
      </c>
      <c r="AI676" s="220" t="s">
        <v>1106</v>
      </c>
      <c r="AJ676" s="483" t="s">
        <v>1107</v>
      </c>
      <c r="AK676" s="484" t="s">
        <v>1108</v>
      </c>
      <c r="AL676" s="221" t="s">
        <v>1109</v>
      </c>
      <c r="AM676" s="221" t="s">
        <v>1175</v>
      </c>
      <c r="AN676" s="221" t="s">
        <v>1176</v>
      </c>
      <c r="AO676" s="13"/>
      <c r="AP676" s="13"/>
    </row>
    <row r="677" spans="1:42" ht="15.75">
      <c r="A677" s="187"/>
      <c r="B677" s="1391" t="s">
        <v>286</v>
      </c>
      <c r="C677" s="1392" t="s">
        <v>77</v>
      </c>
      <c r="D677" s="377">
        <v>350</v>
      </c>
      <c r="E677" s="377">
        <v>5</v>
      </c>
      <c r="F677" s="377">
        <v>50</v>
      </c>
      <c r="G677" s="689">
        <v>432.81716519512025</v>
      </c>
      <c r="H677" s="504">
        <f t="shared" ref="H677:H682" si="274">G677*(1+$H$33)</f>
        <v>463.11436675877871</v>
      </c>
      <c r="I677" s="504">
        <f t="shared" ref="I677:I682" si="275">H677-H677*$J$594</f>
        <v>254.71290171732829</v>
      </c>
      <c r="J677" s="1272">
        <f>G677-G677*$J$594</f>
        <v>238.04944085731614</v>
      </c>
      <c r="K677" s="807">
        <v>489</v>
      </c>
      <c r="L677" s="808">
        <v>374</v>
      </c>
      <c r="M677" s="878">
        <f t="shared" ref="M677:M682" si="276">L677/D677*100%</f>
        <v>1.0685714285714285</v>
      </c>
      <c r="N677" s="879">
        <f t="shared" ref="N677:N682" si="277">K677-(K677*$N$33)</f>
        <v>268.95</v>
      </c>
      <c r="O677" s="1295">
        <f t="shared" ref="O677:O682" si="278">((N677/J677)-1)*100%</f>
        <v>0.1298073166288396</v>
      </c>
      <c r="P677" s="438">
        <f t="shared" ref="P677:P682" si="279">((N677/I677)-1)*100%</f>
        <v>5.5894688438167694E-2</v>
      </c>
      <c r="Q677" s="326">
        <v>4.2769264069264068</v>
      </c>
      <c r="R677" s="258">
        <f t="shared" ref="R677:R682" si="280">Q677*$R$33</f>
        <v>201.15667969696969</v>
      </c>
      <c r="S677" s="1314">
        <f t="shared" ref="S677:S682" si="281">((J677-R677)/J677)*100%</f>
        <v>0.15497940691429521</v>
      </c>
      <c r="T677" s="1128">
        <f t="shared" ref="T677:T682" si="282">((I677-R677)/I677)*100%</f>
        <v>0.21026112795728533</v>
      </c>
      <c r="U677" s="238">
        <v>3.6055799999999998</v>
      </c>
      <c r="V677" s="239">
        <f t="shared" ref="V677:V682" si="283">U677*$X$31</f>
        <v>4.3266959999999992</v>
      </c>
      <c r="W677" s="239">
        <f t="shared" ref="W677:W682" si="284">V677*$R$33</f>
        <v>203.49749296799996</v>
      </c>
      <c r="X677" s="240">
        <f>(ROUND(W677/(1-$AA$675),0))</f>
        <v>261</v>
      </c>
      <c r="Y677" s="239">
        <f t="shared" ref="Y677:Y682" si="285">Z677*(1-$X$591)</f>
        <v>251.75</v>
      </c>
      <c r="Z677" s="240">
        <f t="shared" ref="Z677:Z682" si="286">ROUND(X677/(1-$X$590),0)</f>
        <v>475</v>
      </c>
      <c r="AA677" s="241">
        <f t="shared" ref="AA677:AA682" si="287">((X677-W677)/X677)*100%</f>
        <v>0.22031611889655187</v>
      </c>
      <c r="AB677" s="241">
        <f t="shared" ref="AB677:AB682" si="288">((Y677-W677)/Y677)*100%</f>
        <v>0.19166834968023849</v>
      </c>
      <c r="AC677" s="1198">
        <f t="shared" ref="AC677:AC682" si="289">((N677/Y677)-1)*100%</f>
        <v>6.8321747765640373E-2</v>
      </c>
      <c r="AD677" s="1004">
        <f t="shared" ref="AD677:AD682" si="290">((N677*0.96-W677)/(N677*0.96))*100%</f>
        <v>0.21183656748466276</v>
      </c>
      <c r="AE677" s="238">
        <f t="shared" ref="AE677:AE682" si="291">N677/$R$33</f>
        <v>5.7183254310803049</v>
      </c>
      <c r="AF677" s="239">
        <f>(V677/(1-$AA$675))</f>
        <v>5.5470461538461526</v>
      </c>
      <c r="AG677" s="1868">
        <v>10.09</v>
      </c>
      <c r="AH677" s="244">
        <f t="shared" ref="AH677:AH682" si="292">((AF677-V677)/AF677)*100%</f>
        <v>0.21999999999999997</v>
      </c>
      <c r="AI677" s="77">
        <f t="shared" ref="AI677:AI682" si="293">AJ677/$AJ$683</f>
        <v>0.18433495511546633</v>
      </c>
      <c r="AJ677" s="498">
        <f>[1]Статистика!D35</f>
        <v>2690</v>
      </c>
      <c r="AK677" s="859">
        <f t="shared" ref="AK677:AK682" si="294">Q677*S677*AJ677</f>
        <v>1783.0275433165484</v>
      </c>
      <c r="AL677" s="77">
        <f t="shared" ref="AL677:AL682" si="295">AK677/$AK$683</f>
        <v>0.32939754390045284</v>
      </c>
      <c r="AM677" s="77">
        <f t="shared" ref="AM677:AM682" si="296">AJ677/$AJ$745</f>
        <v>4.5731966474558405E-2</v>
      </c>
      <c r="AN677" s="77">
        <f t="shared" ref="AN677:AN682" si="297">AK677/$AK$745</f>
        <v>6.9861359486683358E-2</v>
      </c>
      <c r="AO677" s="13"/>
      <c r="AP677" s="13"/>
    </row>
    <row r="678" spans="1:42" ht="15.75">
      <c r="A678" s="271"/>
      <c r="B678" s="356" t="s">
        <v>287</v>
      </c>
      <c r="C678" s="1393" t="s">
        <v>78</v>
      </c>
      <c r="D678" s="251">
        <v>500</v>
      </c>
      <c r="E678" s="251">
        <v>3</v>
      </c>
      <c r="F678" s="251">
        <v>30</v>
      </c>
      <c r="G678" s="328">
        <v>616.1166741801934</v>
      </c>
      <c r="H678" s="504">
        <f t="shared" si="274"/>
        <v>659.24484137280695</v>
      </c>
      <c r="I678" s="504">
        <f t="shared" si="275"/>
        <v>362.58466275504384</v>
      </c>
      <c r="J678" s="1272">
        <f>G678-G678*$J$594</f>
        <v>338.86417079910638</v>
      </c>
      <c r="K678" s="254">
        <v>689</v>
      </c>
      <c r="L678" s="322">
        <v>542</v>
      </c>
      <c r="M678" s="335">
        <f t="shared" si="276"/>
        <v>1.0840000000000001</v>
      </c>
      <c r="N678" s="765">
        <f t="shared" si="277"/>
        <v>378.95</v>
      </c>
      <c r="O678" s="329">
        <f t="shared" si="278"/>
        <v>0.11829468163117851</v>
      </c>
      <c r="P678" s="330">
        <f t="shared" si="279"/>
        <v>4.5135216477736995E-2</v>
      </c>
      <c r="Q678" s="331">
        <v>6.0701634877384194</v>
      </c>
      <c r="R678" s="382">
        <f t="shared" si="280"/>
        <v>285.49799931880108</v>
      </c>
      <c r="S678" s="918">
        <f t="shared" si="281"/>
        <v>0.15748543540161736</v>
      </c>
      <c r="T678" s="696">
        <f t="shared" si="282"/>
        <v>0.21260321065571719</v>
      </c>
      <c r="U678" s="261">
        <v>5.1242400000000004</v>
      </c>
      <c r="V678" s="239">
        <f t="shared" si="283"/>
        <v>6.1490879999999999</v>
      </c>
      <c r="W678" s="239">
        <f t="shared" si="284"/>
        <v>289.210055904</v>
      </c>
      <c r="X678" s="240">
        <f>(ROUND(W678/(1-$AA$675),0))</f>
        <v>371</v>
      </c>
      <c r="Y678" s="239">
        <f t="shared" si="285"/>
        <v>357.75</v>
      </c>
      <c r="Z678" s="240">
        <f t="shared" si="286"/>
        <v>675</v>
      </c>
      <c r="AA678" s="241">
        <f t="shared" si="287"/>
        <v>0.22045807033962264</v>
      </c>
      <c r="AB678" s="241">
        <f t="shared" si="288"/>
        <v>0.19158614701886792</v>
      </c>
      <c r="AC678" s="1198">
        <f t="shared" si="289"/>
        <v>5.9259259259259123E-2</v>
      </c>
      <c r="AD678" s="1004">
        <f t="shared" si="290"/>
        <v>0.20501260087082723</v>
      </c>
      <c r="AE678" s="238">
        <f t="shared" si="291"/>
        <v>8.0571088384751128</v>
      </c>
      <c r="AF678" s="239">
        <f>(V678/(1-$AA$675))</f>
        <v>7.8834461538461538</v>
      </c>
      <c r="AG678" s="1868">
        <v>14.33</v>
      </c>
      <c r="AH678" s="244">
        <f t="shared" si="292"/>
        <v>0.22</v>
      </c>
      <c r="AI678" s="77">
        <f t="shared" si="293"/>
        <v>0.18460905913794284</v>
      </c>
      <c r="AJ678" s="498">
        <f>[1]Статистика!D36</f>
        <v>2694</v>
      </c>
      <c r="AK678" s="859">
        <f t="shared" si="294"/>
        <v>2575.3625434898572</v>
      </c>
      <c r="AL678" s="77">
        <f t="shared" si="295"/>
        <v>0.47577397200542099</v>
      </c>
      <c r="AM678" s="77">
        <f t="shared" si="296"/>
        <v>4.5799969398684144E-2</v>
      </c>
      <c r="AN678" s="77">
        <f t="shared" si="297"/>
        <v>0.10090608478466026</v>
      </c>
      <c r="AO678" s="13"/>
      <c r="AP678" s="13"/>
    </row>
    <row r="679" spans="1:42" ht="15.75">
      <c r="A679" s="187"/>
      <c r="B679" s="356" t="s">
        <v>288</v>
      </c>
      <c r="C679" s="1394" t="s">
        <v>79</v>
      </c>
      <c r="D679" s="251">
        <v>650</v>
      </c>
      <c r="E679" s="251">
        <v>2</v>
      </c>
      <c r="F679" s="251">
        <v>20</v>
      </c>
      <c r="G679" s="328">
        <v>799.41618316526649</v>
      </c>
      <c r="H679" s="504">
        <f t="shared" si="274"/>
        <v>855.37531598683518</v>
      </c>
      <c r="I679" s="504">
        <f t="shared" si="275"/>
        <v>470.45642379275932</v>
      </c>
      <c r="J679" s="1272">
        <f>G679-G679*$J$676</f>
        <v>439.67890074089655</v>
      </c>
      <c r="K679" s="321">
        <v>1134</v>
      </c>
      <c r="L679" s="322">
        <v>719</v>
      </c>
      <c r="M679" s="335">
        <f t="shared" si="276"/>
        <v>1.106153846153846</v>
      </c>
      <c r="N679" s="765">
        <f t="shared" si="277"/>
        <v>623.70000000000005</v>
      </c>
      <c r="O679" s="329">
        <f t="shared" si="278"/>
        <v>0.41853520591734594</v>
      </c>
      <c r="P679" s="330">
        <f t="shared" si="279"/>
        <v>0.32573383730593086</v>
      </c>
      <c r="Q679" s="336">
        <v>8.0334382022471917</v>
      </c>
      <c r="R679" s="382">
        <f t="shared" si="280"/>
        <v>377.8366989662922</v>
      </c>
      <c r="S679" s="918">
        <f t="shared" si="281"/>
        <v>0.1406531031404849</v>
      </c>
      <c r="T679" s="696">
        <f t="shared" si="282"/>
        <v>0.19687205900979901</v>
      </c>
      <c r="U679" s="261">
        <v>6.6339899999999998</v>
      </c>
      <c r="V679" s="239">
        <f t="shared" si="283"/>
        <v>7.9607879999999991</v>
      </c>
      <c r="W679" s="239">
        <f t="shared" si="284"/>
        <v>374.41974200399994</v>
      </c>
      <c r="X679" s="240">
        <f>(ROUND(W679/(1-$AB$675),0))</f>
        <v>551</v>
      </c>
      <c r="Y679" s="239">
        <f t="shared" si="285"/>
        <v>531.06000000000006</v>
      </c>
      <c r="Z679" s="240">
        <f t="shared" si="286"/>
        <v>1002</v>
      </c>
      <c r="AA679" s="241">
        <f t="shared" si="287"/>
        <v>0.32047233756079863</v>
      </c>
      <c r="AB679" s="241">
        <f t="shared" si="288"/>
        <v>0.29495774111399858</v>
      </c>
      <c r="AC679" s="1198">
        <f t="shared" si="289"/>
        <v>0.17444356569879105</v>
      </c>
      <c r="AD679" s="1004">
        <f t="shared" si="290"/>
        <v>0.37466640277777796</v>
      </c>
      <c r="AE679" s="238">
        <f t="shared" si="291"/>
        <v>13.260901919928562</v>
      </c>
      <c r="AF679" s="239">
        <f>(V679/(1-$AB$675))</f>
        <v>11.707041176470588</v>
      </c>
      <c r="AG679" s="1868">
        <v>21.29</v>
      </c>
      <c r="AH679" s="244">
        <f t="shared" si="292"/>
        <v>0.32000000000000006</v>
      </c>
      <c r="AI679" s="1395">
        <f t="shared" si="293"/>
        <v>0.15089426437332967</v>
      </c>
      <c r="AJ679" s="1396">
        <f>[1]Статистика!D37</f>
        <v>2202</v>
      </c>
      <c r="AK679" s="1397">
        <f t="shared" si="294"/>
        <v>2488.1014824975159</v>
      </c>
      <c r="AL679" s="1395">
        <f t="shared" si="295"/>
        <v>0.45965331291814748</v>
      </c>
      <c r="AM679" s="1395">
        <f t="shared" si="296"/>
        <v>3.7435609731218442E-2</v>
      </c>
      <c r="AN679" s="1395">
        <f t="shared" si="297"/>
        <v>9.7487081879166118E-2</v>
      </c>
      <c r="AO679" s="13"/>
      <c r="AP679" s="13"/>
    </row>
    <row r="680" spans="1:42" ht="15.75">
      <c r="A680" s="187"/>
      <c r="B680" s="356" t="s">
        <v>289</v>
      </c>
      <c r="C680" s="1393" t="s">
        <v>80</v>
      </c>
      <c r="D680" s="251">
        <v>435</v>
      </c>
      <c r="E680" s="251">
        <v>3</v>
      </c>
      <c r="F680" s="251">
        <v>30</v>
      </c>
      <c r="G680" s="328">
        <v>537.42264414471686</v>
      </c>
      <c r="H680" s="504">
        <f t="shared" si="274"/>
        <v>575.04222923484701</v>
      </c>
      <c r="I680" s="504">
        <f t="shared" si="275"/>
        <v>316.27322607916585</v>
      </c>
      <c r="J680" s="1272">
        <f>G680-G680*$J$676</f>
        <v>295.58245427959423</v>
      </c>
      <c r="K680" s="254">
        <v>567</v>
      </c>
      <c r="L680" s="322">
        <v>477</v>
      </c>
      <c r="M680" s="335">
        <f t="shared" si="276"/>
        <v>1.096551724137931</v>
      </c>
      <c r="N680" s="765">
        <f t="shared" si="277"/>
        <v>311.85000000000002</v>
      </c>
      <c r="O680" s="329">
        <f t="shared" si="278"/>
        <v>5.5035559401026557E-2</v>
      </c>
      <c r="P680" s="330">
        <f t="shared" si="279"/>
        <v>-1.3985458503713688E-2</v>
      </c>
      <c r="Q680" s="331">
        <v>5.4156642216788917</v>
      </c>
      <c r="R680" s="382">
        <f t="shared" si="280"/>
        <v>254.71493533822331</v>
      </c>
      <c r="S680" s="918">
        <f t="shared" si="281"/>
        <v>0.13826097709681356</v>
      </c>
      <c r="T680" s="696">
        <f t="shared" si="282"/>
        <v>0.19463642719328375</v>
      </c>
      <c r="U680" s="261">
        <v>4.3609499999999999</v>
      </c>
      <c r="V680" s="239">
        <f t="shared" si="283"/>
        <v>5.2331399999999997</v>
      </c>
      <c r="W680" s="239">
        <f t="shared" si="284"/>
        <v>246.13027362</v>
      </c>
      <c r="X680" s="240">
        <f>(ROUND(W680/(1-$AC$675),0))</f>
        <v>308</v>
      </c>
      <c r="Y680" s="239">
        <f t="shared" si="285"/>
        <v>296.8</v>
      </c>
      <c r="Z680" s="240">
        <f t="shared" si="286"/>
        <v>560</v>
      </c>
      <c r="AA680" s="241">
        <f t="shared" si="287"/>
        <v>0.200875735</v>
      </c>
      <c r="AB680" s="241">
        <f t="shared" si="288"/>
        <v>0.17072010235849061</v>
      </c>
      <c r="AC680" s="1198">
        <f t="shared" si="289"/>
        <v>5.0707547169811296E-2</v>
      </c>
      <c r="AD680" s="1004">
        <f t="shared" si="290"/>
        <v>0.17785569444444455</v>
      </c>
      <c r="AE680" s="238">
        <f t="shared" si="291"/>
        <v>6.6304509599642811</v>
      </c>
      <c r="AF680" s="239">
        <f>(V680/(1-$AC$675))</f>
        <v>6.5414249999999994</v>
      </c>
      <c r="AG680" s="1868">
        <v>11.9</v>
      </c>
      <c r="AH680" s="244">
        <f t="shared" si="292"/>
        <v>0.19999999999999998</v>
      </c>
      <c r="AI680" s="77">
        <f t="shared" si="293"/>
        <v>0.12300418008634277</v>
      </c>
      <c r="AJ680" s="498">
        <f>[1]Статистика!D38</f>
        <v>1795</v>
      </c>
      <c r="AK680" s="859">
        <f t="shared" si="294"/>
        <v>1344.0511733170524</v>
      </c>
      <c r="AL680" s="77">
        <f t="shared" si="295"/>
        <v>0.24830079435770089</v>
      </c>
      <c r="AM680" s="77">
        <f t="shared" si="296"/>
        <v>3.0516312201424662E-2</v>
      </c>
      <c r="AN680" s="77">
        <f t="shared" si="297"/>
        <v>5.2661689125085592E-2</v>
      </c>
      <c r="AO680" s="13"/>
      <c r="AP680" s="13"/>
    </row>
    <row r="681" spans="1:42" ht="15.75">
      <c r="A681" s="187"/>
      <c r="B681" s="909" t="s">
        <v>290</v>
      </c>
      <c r="C681" s="1398" t="s">
        <v>81</v>
      </c>
      <c r="D681" s="1399">
        <v>595</v>
      </c>
      <c r="E681" s="433">
        <v>2</v>
      </c>
      <c r="F681" s="433">
        <v>20</v>
      </c>
      <c r="G681" s="433">
        <v>734.44562422134265</v>
      </c>
      <c r="H681" s="504">
        <f t="shared" si="274"/>
        <v>785.85681791683669</v>
      </c>
      <c r="I681" s="504">
        <f t="shared" si="275"/>
        <v>432.22124985426018</v>
      </c>
      <c r="J681" s="1400">
        <f>G681-G681*$J$676</f>
        <v>403.94509332173845</v>
      </c>
      <c r="K681" s="1401">
        <v>781</v>
      </c>
      <c r="L681" s="1402">
        <v>671</v>
      </c>
      <c r="M681" s="1403">
        <f t="shared" si="276"/>
        <v>1.1277310924369748</v>
      </c>
      <c r="N681" s="1404">
        <f t="shared" si="277"/>
        <v>429.55</v>
      </c>
      <c r="O681" s="1405">
        <f t="shared" si="278"/>
        <v>6.3387096666297493E-2</v>
      </c>
      <c r="P681" s="330">
        <f t="shared" si="279"/>
        <v>-6.1802834894417735E-3</v>
      </c>
      <c r="Q681" s="946">
        <v>8.9</v>
      </c>
      <c r="R681" s="430">
        <f t="shared" si="280"/>
        <v>418.59370000000001</v>
      </c>
      <c r="S681" s="1406">
        <f t="shared" si="281"/>
        <v>-3.6263855955774867E-2</v>
      </c>
      <c r="T681" s="696">
        <f t="shared" si="282"/>
        <v>3.1529106583388054E-2</v>
      </c>
      <c r="U681" s="238">
        <v>6.0063300000000002</v>
      </c>
      <c r="V681" s="239">
        <f t="shared" si="283"/>
        <v>7.2075959999999997</v>
      </c>
      <c r="W681" s="239">
        <f t="shared" si="284"/>
        <v>338.994862668</v>
      </c>
      <c r="X681" s="240">
        <f>(ROUND(W681/(1-$AC$675),0))</f>
        <v>424</v>
      </c>
      <c r="Y681" s="239">
        <f t="shared" si="285"/>
        <v>408.63</v>
      </c>
      <c r="Z681" s="240">
        <f t="shared" si="286"/>
        <v>771</v>
      </c>
      <c r="AA681" s="241">
        <f t="shared" si="287"/>
        <v>0.20048381446226415</v>
      </c>
      <c r="AB681" s="241">
        <f t="shared" si="288"/>
        <v>0.17041122123192129</v>
      </c>
      <c r="AC681" s="1198">
        <f t="shared" si="289"/>
        <v>5.119545799378411E-2</v>
      </c>
      <c r="AD681" s="1004">
        <f t="shared" si="290"/>
        <v>0.17793121030729833</v>
      </c>
      <c r="AE681" s="238">
        <f t="shared" si="291"/>
        <v>9.1329492058767254</v>
      </c>
      <c r="AF681" s="239">
        <f>(V681/(1-$AC$675))</f>
        <v>9.0094949999999994</v>
      </c>
      <c r="AG681" s="1868">
        <v>16.38</v>
      </c>
      <c r="AH681" s="244">
        <f t="shared" si="292"/>
        <v>0.19999999999999998</v>
      </c>
      <c r="AI681" s="77">
        <f t="shared" si="293"/>
        <v>0.18591105324470636</v>
      </c>
      <c r="AJ681" s="498">
        <f>[1]Статистика!D39</f>
        <v>2713</v>
      </c>
      <c r="AK681" s="859">
        <f t="shared" si="294"/>
        <v>-875.61618675135321</v>
      </c>
      <c r="AL681" s="77">
        <f t="shared" si="295"/>
        <v>-0.16176184288150983</v>
      </c>
      <c r="AM681" s="77">
        <f t="shared" si="296"/>
        <v>4.6122983288281398E-2</v>
      </c>
      <c r="AN681" s="77">
        <f t="shared" si="297"/>
        <v>-3.4307791500075041E-2</v>
      </c>
      <c r="AO681" s="13"/>
      <c r="AP681" s="13"/>
    </row>
    <row r="682" spans="1:42" ht="16.5" thickBot="1">
      <c r="A682" s="187"/>
      <c r="B682" s="914" t="s">
        <v>291</v>
      </c>
      <c r="C682" s="1407" t="s">
        <v>82</v>
      </c>
      <c r="D682" s="1408">
        <v>790</v>
      </c>
      <c r="E682" s="916">
        <v>1</v>
      </c>
      <c r="F682" s="916">
        <v>15</v>
      </c>
      <c r="G682" s="916">
        <v>930.89279432209889</v>
      </c>
      <c r="H682" s="504">
        <f t="shared" si="274"/>
        <v>996.05528992464588</v>
      </c>
      <c r="I682" s="504">
        <f t="shared" si="275"/>
        <v>547.83040945855521</v>
      </c>
      <c r="J682" s="1400">
        <f>G682-G682*$J$676</f>
        <v>511.99103687715439</v>
      </c>
      <c r="K682" s="1409">
        <v>1270</v>
      </c>
      <c r="L682" s="1410">
        <v>917</v>
      </c>
      <c r="M682" s="1411">
        <f t="shared" si="276"/>
        <v>1.160759493670886</v>
      </c>
      <c r="N682" s="1412">
        <f t="shared" si="277"/>
        <v>698.5</v>
      </c>
      <c r="O682" s="1413">
        <f t="shared" si="278"/>
        <v>0.36428169575084968</v>
      </c>
      <c r="P682" s="343">
        <f t="shared" si="279"/>
        <v>0.27502962219705585</v>
      </c>
      <c r="Q682" s="946">
        <v>11.6</v>
      </c>
      <c r="R682" s="430">
        <f t="shared" si="280"/>
        <v>545.58280000000002</v>
      </c>
      <c r="S682" s="1406">
        <f t="shared" si="281"/>
        <v>-6.5610060925550037E-2</v>
      </c>
      <c r="T682" s="919">
        <f t="shared" si="282"/>
        <v>4.1027467985513986E-3</v>
      </c>
      <c r="U682" s="261">
        <v>7.6408199999999997</v>
      </c>
      <c r="V682" s="239">
        <f t="shared" si="283"/>
        <v>9.168984</v>
      </c>
      <c r="W682" s="239">
        <f t="shared" si="284"/>
        <v>431.244824472</v>
      </c>
      <c r="X682" s="240">
        <f>(ROUND(W682/(1-$AB$675),0))</f>
        <v>634</v>
      </c>
      <c r="Y682" s="239">
        <f t="shared" si="285"/>
        <v>611.09</v>
      </c>
      <c r="Z682" s="240">
        <f t="shared" si="286"/>
        <v>1153</v>
      </c>
      <c r="AA682" s="241">
        <f t="shared" si="287"/>
        <v>0.31980311597476341</v>
      </c>
      <c r="AB682" s="241">
        <f t="shared" si="288"/>
        <v>0.29430227221522198</v>
      </c>
      <c r="AC682" s="1198">
        <f t="shared" si="289"/>
        <v>0.14303948681863554</v>
      </c>
      <c r="AD682" s="1004">
        <f t="shared" si="290"/>
        <v>0.35688853425196843</v>
      </c>
      <c r="AE682" s="238">
        <f t="shared" si="291"/>
        <v>14.851274636957029</v>
      </c>
      <c r="AF682" s="239">
        <f>(V682/(1-$AB$675))</f>
        <v>13.4838</v>
      </c>
      <c r="AG682" s="1868">
        <v>24.52</v>
      </c>
      <c r="AH682" s="244">
        <f t="shared" si="292"/>
        <v>0.32</v>
      </c>
      <c r="AI682" s="77">
        <f t="shared" si="293"/>
        <v>0.17124648804221201</v>
      </c>
      <c r="AJ682" s="498">
        <f>[1]Статистика!D40</f>
        <v>2499</v>
      </c>
      <c r="AK682" s="859">
        <f t="shared" si="294"/>
        <v>-1901.9306901342145</v>
      </c>
      <c r="AL682" s="77">
        <f t="shared" si="295"/>
        <v>-0.35136378030021254</v>
      </c>
      <c r="AM682" s="77">
        <f t="shared" si="296"/>
        <v>4.2484826847554447E-2</v>
      </c>
      <c r="AN682" s="77">
        <f t="shared" si="297"/>
        <v>-7.4520140847107993E-2</v>
      </c>
      <c r="AO682" s="13"/>
      <c r="AP682" s="13"/>
    </row>
    <row r="683" spans="1:42" ht="15.75" thickBot="1">
      <c r="A683" s="187"/>
      <c r="B683" s="2"/>
      <c r="C683" s="827"/>
      <c r="D683" s="1414"/>
      <c r="E683" s="827"/>
      <c r="F683" s="827"/>
      <c r="G683" s="827"/>
      <c r="H683" s="785"/>
      <c r="I683" s="785"/>
      <c r="J683" s="897"/>
      <c r="K683" s="533"/>
      <c r="P683" s="886"/>
      <c r="Q683" s="1091"/>
      <c r="R683" s="1092"/>
      <c r="S683" s="364"/>
      <c r="T683" s="365"/>
      <c r="U683" s="366"/>
      <c r="V683" s="366"/>
      <c r="W683" s="366"/>
      <c r="X683" s="366"/>
      <c r="Y683" s="366"/>
      <c r="Z683" s="366"/>
      <c r="AA683" s="367"/>
      <c r="AB683" s="367"/>
      <c r="AC683" s="367">
        <f>AVERAGE(AC677:AC682)</f>
        <v>9.116117745098691E-2</v>
      </c>
      <c r="AD683" s="367">
        <f>AVERAGE(AD677:AD682)</f>
        <v>0.25069850168949653</v>
      </c>
      <c r="AE683" s="366"/>
      <c r="AF683" s="366"/>
      <c r="AG683" s="1872"/>
      <c r="AH683" s="367"/>
      <c r="AI683" s="512">
        <f>S677*AI677+S678*AI678+S679*AI679+S680*AI680+S681*AI681+S682*AI682</f>
        <v>7.7894440561541323E-2</v>
      </c>
      <c r="AJ683" s="304">
        <f>SUM(AJ677:AJ682)</f>
        <v>14593</v>
      </c>
      <c r="AK683" s="514">
        <f>SUM(AK677:AK682)</f>
        <v>5412.9958657354073</v>
      </c>
      <c r="AL683" s="16"/>
      <c r="AM683" s="307">
        <f>SUM(AM677:AM682)</f>
        <v>0.24809166794172152</v>
      </c>
      <c r="AN683" s="307">
        <f>SUM(AN677:AN682)</f>
        <v>0.21208828292841231</v>
      </c>
      <c r="AO683" s="13"/>
      <c r="AP683" s="13"/>
    </row>
    <row r="684" spans="1:42">
      <c r="A684" s="2369"/>
      <c r="B684" s="2369"/>
      <c r="C684" s="2369"/>
      <c r="D684" s="2369"/>
      <c r="E684" s="2369"/>
      <c r="F684" s="2369"/>
      <c r="G684" s="2369"/>
      <c r="H684" s="2369"/>
      <c r="I684" s="2369"/>
      <c r="J684" s="2369"/>
      <c r="K684" s="533"/>
      <c r="AL684" s="16"/>
      <c r="AO684" s="13"/>
      <c r="AP684" s="13"/>
    </row>
    <row r="685" spans="1:42" ht="15.75" thickBot="1">
      <c r="A685" s="2369" t="s">
        <v>598</v>
      </c>
      <c r="B685" s="2369"/>
      <c r="C685" s="2369"/>
      <c r="D685" s="2369"/>
      <c r="E685" s="2369"/>
      <c r="F685" s="2369"/>
      <c r="J685" s="532"/>
      <c r="K685" s="1850" t="s">
        <v>1315</v>
      </c>
      <c r="L685" s="1850"/>
      <c r="M685" s="1850"/>
      <c r="N685" s="898"/>
      <c r="O685" s="899"/>
      <c r="P685" s="459"/>
      <c r="T685" s="1851"/>
      <c r="U685" s="627"/>
      <c r="V685" s="627"/>
      <c r="W685" s="627"/>
      <c r="X685" s="627"/>
      <c r="Y685" s="627"/>
      <c r="Z685" s="627"/>
      <c r="AA685" s="614">
        <v>0.3</v>
      </c>
      <c r="AB685" s="628">
        <v>0.21</v>
      </c>
      <c r="AC685" s="628">
        <v>0.16</v>
      </c>
      <c r="AD685" s="1851"/>
      <c r="AE685" s="188"/>
      <c r="AF685" s="188"/>
      <c r="AG685" s="1866"/>
      <c r="AH685" s="1851"/>
      <c r="AL685" s="16"/>
      <c r="AO685" s="13"/>
      <c r="AP685" s="13"/>
    </row>
    <row r="686" spans="1:42" ht="60.75" thickBot="1">
      <c r="A686" s="149" t="s">
        <v>613</v>
      </c>
      <c r="B686" s="189" t="s">
        <v>10</v>
      </c>
      <c r="C686" s="1326" t="s">
        <v>11</v>
      </c>
      <c r="D686" s="190" t="s">
        <v>12</v>
      </c>
      <c r="E686" s="190" t="s">
        <v>13</v>
      </c>
      <c r="F686" s="190" t="s">
        <v>14</v>
      </c>
      <c r="G686" s="191" t="s">
        <v>15</v>
      </c>
      <c r="H686" s="347" t="s">
        <v>1090</v>
      </c>
      <c r="I686" s="347">
        <f>$C$17</f>
        <v>0.45</v>
      </c>
      <c r="J686" s="873">
        <f>$C$17</f>
        <v>0.45</v>
      </c>
      <c r="K686" s="548" t="s">
        <v>15</v>
      </c>
      <c r="L686" s="423" t="s">
        <v>12</v>
      </c>
      <c r="M686" s="196" t="s">
        <v>1091</v>
      </c>
      <c r="N686" s="549" t="s">
        <v>993</v>
      </c>
      <c r="O686" s="424" t="s">
        <v>1092</v>
      </c>
      <c r="P686" s="602" t="s">
        <v>1092</v>
      </c>
      <c r="Q686" s="200" t="s">
        <v>1093</v>
      </c>
      <c r="R686" s="201" t="s">
        <v>1094</v>
      </c>
      <c r="S686" s="350" t="s">
        <v>1095</v>
      </c>
      <c r="T686" s="1376" t="s">
        <v>1095</v>
      </c>
      <c r="U686" s="204" t="s">
        <v>1096</v>
      </c>
      <c r="V686" s="205" t="s">
        <v>1093</v>
      </c>
      <c r="W686" s="206" t="s">
        <v>1094</v>
      </c>
      <c r="X686" s="207" t="s">
        <v>1097</v>
      </c>
      <c r="Y686" s="208">
        <f>$X$591</f>
        <v>0.47</v>
      </c>
      <c r="Z686" s="207" t="s">
        <v>1098</v>
      </c>
      <c r="AA686" s="209" t="s">
        <v>1099</v>
      </c>
      <c r="AB686" s="209" t="s">
        <v>1100</v>
      </c>
      <c r="AC686" s="210" t="s">
        <v>1092</v>
      </c>
      <c r="AD686" s="211" t="s">
        <v>1101</v>
      </c>
      <c r="AE686" s="209" t="s">
        <v>1102</v>
      </c>
      <c r="AF686" s="208" t="s">
        <v>1103</v>
      </c>
      <c r="AG686" s="1867" t="s">
        <v>1104</v>
      </c>
      <c r="AH686" s="213" t="s">
        <v>1116</v>
      </c>
      <c r="AI686" s="220" t="s">
        <v>1106</v>
      </c>
      <c r="AJ686" s="483" t="s">
        <v>1107</v>
      </c>
      <c r="AK686" s="484" t="s">
        <v>1108</v>
      </c>
      <c r="AL686" s="221" t="s">
        <v>1109</v>
      </c>
      <c r="AM686" s="221" t="s">
        <v>1175</v>
      </c>
      <c r="AN686" s="221" t="s">
        <v>1176</v>
      </c>
      <c r="AO686" s="13"/>
      <c r="AP686" s="13"/>
    </row>
    <row r="687" spans="1:42" ht="15.75">
      <c r="A687" s="187"/>
      <c r="B687" s="250" t="s">
        <v>292</v>
      </c>
      <c r="C687" s="1393" t="s">
        <v>77</v>
      </c>
      <c r="D687" s="251">
        <v>330</v>
      </c>
      <c r="E687" s="251">
        <v>5</v>
      </c>
      <c r="F687" s="251">
        <v>50</v>
      </c>
      <c r="G687" s="328">
        <v>408.82508286723117</v>
      </c>
      <c r="H687" s="357">
        <f>G687*(1+$H$33)</f>
        <v>437.44283866793739</v>
      </c>
      <c r="I687" s="357">
        <f>H687-H687*$J$594</f>
        <v>240.59356126736557</v>
      </c>
      <c r="J687" s="883">
        <f>G687-G687*$J$594</f>
        <v>224.85379557697715</v>
      </c>
      <c r="K687" s="807">
        <v>551</v>
      </c>
      <c r="L687" s="808">
        <v>375</v>
      </c>
      <c r="M687" s="878">
        <f>L687/D687*100%</f>
        <v>1.1363636363636365</v>
      </c>
      <c r="N687" s="235">
        <f>K687-(K687*$O$33)</f>
        <v>275.5</v>
      </c>
      <c r="O687" s="880">
        <f>((N687/J687)-1)*100%</f>
        <v>0.2252406026461069</v>
      </c>
      <c r="P687" s="472">
        <f>((N687/I687)-1)*100%</f>
        <v>0.14508467537019332</v>
      </c>
      <c r="Q687" s="326">
        <v>3.9588123167155431</v>
      </c>
      <c r="R687" s="258">
        <f>Q687*$R$33</f>
        <v>186.19481969208215</v>
      </c>
      <c r="S687" s="1314">
        <f>((J687-R687)/J687)*100%</f>
        <v>0.17192938987618897</v>
      </c>
      <c r="T687" s="696">
        <f>((I687-R687)/I687)*100%</f>
        <v>0.22610223352914866</v>
      </c>
      <c r="U687" s="238">
        <v>3.3481800000000002</v>
      </c>
      <c r="V687" s="239">
        <f>U687*$X$31</f>
        <v>4.0178159999999998</v>
      </c>
      <c r="W687" s="239">
        <f>V687*$R$33</f>
        <v>188.969939928</v>
      </c>
      <c r="X687" s="240">
        <f>(ROUND(W687/(1-$AA$685),0))</f>
        <v>270</v>
      </c>
      <c r="Y687" s="239">
        <f>Z687*(1-$X$591)</f>
        <v>260.23</v>
      </c>
      <c r="Z687" s="240">
        <f>ROUND(X687/(1-$X$590),0)</f>
        <v>491</v>
      </c>
      <c r="AA687" s="241">
        <f>((X687-W687)/X687)*100%</f>
        <v>0.30011133359999997</v>
      </c>
      <c r="AB687" s="241">
        <f>((Y687-W687)/Y687)*100%</f>
        <v>0.27383491554394196</v>
      </c>
      <c r="AC687" s="1198">
        <f>((N687/Y687)-1)*100%</f>
        <v>5.8678861007570138E-2</v>
      </c>
      <c r="AD687" s="1004">
        <f>((N687*0.96-W687)/(N687*0.96))*100%</f>
        <v>0.28550385689655178</v>
      </c>
      <c r="AE687" s="238">
        <f>N687/$R$33</f>
        <v>5.8575893521569959</v>
      </c>
      <c r="AF687" s="239">
        <f>(V687/(1-$AA$685))</f>
        <v>5.7397371428571429</v>
      </c>
      <c r="AG687" s="1868">
        <v>10.44</v>
      </c>
      <c r="AH687" s="244">
        <f>((AF687-V687)/AF687)*100%</f>
        <v>0.30000000000000004</v>
      </c>
      <c r="AI687" s="506">
        <f>AJ687/$AJ$691</f>
        <v>0.34658645043159825</v>
      </c>
      <c r="AJ687" s="498">
        <f>[1]Статистика!D31</f>
        <v>1325</v>
      </c>
      <c r="AK687" s="859">
        <f>Q687*S687*AJ687</f>
        <v>901.84294677760033</v>
      </c>
      <c r="AL687" s="77">
        <f>AK687/$AK$691</f>
        <v>0.30557441898988974</v>
      </c>
      <c r="AM687" s="77">
        <f>AJ687/$AJ$745</f>
        <v>2.2525968616650516E-2</v>
      </c>
      <c r="AN687" s="77">
        <f>AK687/$AK$745</f>
        <v>3.5335390382230582E-2</v>
      </c>
      <c r="AO687" s="13"/>
      <c r="AP687" s="13"/>
    </row>
    <row r="688" spans="1:42" ht="15.75">
      <c r="A688" s="271"/>
      <c r="B688" s="250" t="s">
        <v>293</v>
      </c>
      <c r="C688" s="1393" t="s">
        <v>78</v>
      </c>
      <c r="D688" s="251">
        <v>465</v>
      </c>
      <c r="E688" s="251">
        <v>3</v>
      </c>
      <c r="F688" s="251">
        <v>30</v>
      </c>
      <c r="G688" s="328">
        <v>566.21314293818398</v>
      </c>
      <c r="H688" s="357">
        <f>G688*(1+$H$33)</f>
        <v>605.84806294385692</v>
      </c>
      <c r="I688" s="357">
        <f>H688-H688*$J$594</f>
        <v>333.21643461912129</v>
      </c>
      <c r="J688" s="883">
        <f>G688-G688*$J$594</f>
        <v>311.41722861600118</v>
      </c>
      <c r="K688" s="321">
        <v>783</v>
      </c>
      <c r="L688" s="322">
        <v>543</v>
      </c>
      <c r="M688" s="335">
        <f>L688/D688*100%</f>
        <v>1.167741935483871</v>
      </c>
      <c r="N688" s="382">
        <f>K688-(K688*$O$33)</f>
        <v>391.5</v>
      </c>
      <c r="O688" s="386">
        <f>((N688/J688)-1)*100%</f>
        <v>0.25715587971770937</v>
      </c>
      <c r="P688" s="472">
        <f>((N688/I688)-1)*100%</f>
        <v>0.17491203711935444</v>
      </c>
      <c r="Q688" s="331">
        <v>6.0000858369098715</v>
      </c>
      <c r="R688" s="382">
        <f>Q688*$R$33</f>
        <v>282.202037167382</v>
      </c>
      <c r="S688" s="918">
        <f>((J688-R688)/J688)*100%</f>
        <v>9.3813664640383515E-2</v>
      </c>
      <c r="T688" s="696">
        <f>((I688-R688)/I688)*100%</f>
        <v>0.15309688284147999</v>
      </c>
      <c r="U688" s="261">
        <v>4.7747700000000002</v>
      </c>
      <c r="V688" s="239">
        <f>U688*$X$31</f>
        <v>5.729724</v>
      </c>
      <c r="W688" s="239">
        <f>V688*$R$33</f>
        <v>269.486108892</v>
      </c>
      <c r="X688" s="240">
        <f>(ROUND(W688/(1-$AA$685),0))</f>
        <v>385</v>
      </c>
      <c r="Y688" s="239">
        <f>Z688*(1-$X$591)</f>
        <v>371</v>
      </c>
      <c r="Z688" s="240">
        <f>ROUND(X688/(1-$X$590),0)</f>
        <v>700</v>
      </c>
      <c r="AA688" s="241">
        <f>((X688-W688)/X688)*100%</f>
        <v>0.30003608079999999</v>
      </c>
      <c r="AB688" s="241">
        <f>((Y688-W688)/Y688)*100%</f>
        <v>0.27362234800000002</v>
      </c>
      <c r="AC688" s="1198">
        <f>((N688/Y688)-1)*100%</f>
        <v>5.5256064690026863E-2</v>
      </c>
      <c r="AD688" s="1004">
        <f>((N688*0.96-W688)/(N688*0.96))*100%</f>
        <v>0.28297650890804593</v>
      </c>
      <c r="AE688" s="238">
        <f>N688/$R$33</f>
        <v>8.3239427635915213</v>
      </c>
      <c r="AF688" s="239">
        <f>(V688/(1-$AA$685))</f>
        <v>8.1853200000000008</v>
      </c>
      <c r="AG688" s="1868">
        <v>14.88</v>
      </c>
      <c r="AH688" s="244">
        <f>((AF688-V688)/AF688)*100%</f>
        <v>0.30000000000000004</v>
      </c>
      <c r="AI688" s="506">
        <f>AJ688/$AJ$691</f>
        <v>0.22312320167407795</v>
      </c>
      <c r="AJ688" s="498">
        <f>[1]Статистика!D32</f>
        <v>853</v>
      </c>
      <c r="AK688" s="859">
        <f>Q688*S688*AJ688</f>
        <v>480.14520456132306</v>
      </c>
      <c r="AL688" s="77">
        <f>AK688/$AK$691</f>
        <v>0.16268918267738039</v>
      </c>
      <c r="AM688" s="77">
        <f>AJ688/$AJ$745</f>
        <v>1.4501623569813502E-2</v>
      </c>
      <c r="AN688" s="77">
        <f>AK688/$AK$745</f>
        <v>1.8812719336501339E-2</v>
      </c>
      <c r="AO688" s="13"/>
      <c r="AP688" s="13"/>
    </row>
    <row r="689" spans="1:42" ht="15.75">
      <c r="A689" s="187"/>
      <c r="B689" s="250" t="s">
        <v>294</v>
      </c>
      <c r="C689" s="1393" t="s">
        <v>80</v>
      </c>
      <c r="D689" s="251">
        <v>425</v>
      </c>
      <c r="E689" s="251">
        <v>3</v>
      </c>
      <c r="F689" s="251">
        <v>30</v>
      </c>
      <c r="G689" s="328">
        <v>525.90644462733019</v>
      </c>
      <c r="H689" s="357">
        <f>G689*(1+$H$33)</f>
        <v>562.71989575124337</v>
      </c>
      <c r="I689" s="357">
        <f>H689-H689*$J$594</f>
        <v>309.49594266318388</v>
      </c>
      <c r="J689" s="883">
        <f>G689-G689*$J$676</f>
        <v>289.24854454503156</v>
      </c>
      <c r="K689" s="321">
        <v>634</v>
      </c>
      <c r="L689" s="322">
        <v>410</v>
      </c>
      <c r="M689" s="860">
        <f>L689/D689*100%</f>
        <v>0.96470588235294119</v>
      </c>
      <c r="N689" s="382">
        <f>K689-(K689*$O$33)</f>
        <v>317</v>
      </c>
      <c r="O689" s="386">
        <f>((N689/J689)-1)*100%</f>
        <v>9.5943284688327912E-2</v>
      </c>
      <c r="P689" s="472">
        <f>((N689/I689)-1)*100%</f>
        <v>2.424606045638078E-2</v>
      </c>
      <c r="Q689" s="336">
        <v>5.2431746031746034</v>
      </c>
      <c r="R689" s="382">
        <f>Q689*$R$33</f>
        <v>246.60223111111114</v>
      </c>
      <c r="S689" s="918">
        <f>((J689-R689)/J689)*100%</f>
        <v>0.14743829913128931</v>
      </c>
      <c r="T689" s="696">
        <f>((I689-R689)/I689)*100%</f>
        <v>0.20321336367410245</v>
      </c>
      <c r="U689" s="261">
        <v>4.3342200000000002</v>
      </c>
      <c r="V689" s="239">
        <f>U689*$X$31</f>
        <v>5.2010639999999997</v>
      </c>
      <c r="W689" s="239">
        <f>V689*$R$33</f>
        <v>244.62164311199999</v>
      </c>
      <c r="X689" s="240">
        <f>(ROUND(W689/(1-$AB$685),0))</f>
        <v>310</v>
      </c>
      <c r="Y689" s="239">
        <f>Z689*(1-$X$591)</f>
        <v>298.92</v>
      </c>
      <c r="Z689" s="240">
        <f>ROUND(X689/(1-$X$590),0)</f>
        <v>564</v>
      </c>
      <c r="AA689" s="241">
        <f>((X689-W689)/X689)*100%</f>
        <v>0.21089792544516134</v>
      </c>
      <c r="AB689" s="241">
        <f>((Y689-W689)/Y689)*100%</f>
        <v>0.18164845740666408</v>
      </c>
      <c r="AC689" s="1198">
        <f>((N689/Y689)-1)*100%</f>
        <v>6.0484410544627165E-2</v>
      </c>
      <c r="AD689" s="1004">
        <f>((N689*0.96-W689)/(N689*0.96))*100%</f>
        <v>0.19616967957413251</v>
      </c>
      <c r="AE689" s="238">
        <f>N689/$R$33</f>
        <v>6.7399485467650369</v>
      </c>
      <c r="AF689" s="239">
        <f>(V689/(1-$AB$685))</f>
        <v>6.5836253164556959</v>
      </c>
      <c r="AG689" s="1868">
        <f>AF689/(1-$X$590)</f>
        <v>11.970227848101265</v>
      </c>
      <c r="AH689" s="244">
        <f>((AF689-V689)/AF689)*100%</f>
        <v>0.21000000000000002</v>
      </c>
      <c r="AI689" s="506">
        <f>AJ689/$AJ$691</f>
        <v>0.21082919173424011</v>
      </c>
      <c r="AJ689" s="498">
        <f>[1]Статистика!D33</f>
        <v>806</v>
      </c>
      <c r="AK689" s="859">
        <f>Q689*S689*AJ689</f>
        <v>623.07406490559174</v>
      </c>
      <c r="AL689" s="77">
        <f>AK689/$AK$691</f>
        <v>0.21111823965747295</v>
      </c>
      <c r="AM689" s="77">
        <f>AJ689/$AJ$745</f>
        <v>1.3702589211336087E-2</v>
      </c>
      <c r="AN689" s="77">
        <f>AK689/$AK$745</f>
        <v>2.441285968820885E-2</v>
      </c>
      <c r="AO689" s="13"/>
      <c r="AP689" s="13"/>
    </row>
    <row r="690" spans="1:42" ht="16.5" thickBot="1">
      <c r="A690" s="187"/>
      <c r="B690" s="250" t="s">
        <v>295</v>
      </c>
      <c r="C690" s="1393" t="s">
        <v>81</v>
      </c>
      <c r="D690" s="251">
        <v>610</v>
      </c>
      <c r="E690" s="251">
        <v>2</v>
      </c>
      <c r="F690" s="251">
        <v>20</v>
      </c>
      <c r="G690" s="328">
        <v>746.63360204391029</v>
      </c>
      <c r="H690" s="357">
        <f>G690*(1+$H$33)</f>
        <v>798.89795418698407</v>
      </c>
      <c r="I690" s="357">
        <f>H690-H690*$J$594</f>
        <v>439.39387480284125</v>
      </c>
      <c r="J690" s="883">
        <f>G690-G690*$J$676</f>
        <v>410.64848112415063</v>
      </c>
      <c r="K690" s="340">
        <v>835</v>
      </c>
      <c r="L690" s="341">
        <v>575</v>
      </c>
      <c r="M690" s="507">
        <f>L690/D690*100%</f>
        <v>0.94262295081967218</v>
      </c>
      <c r="N690" s="390">
        <f>K690-(K690*$O$33)</f>
        <v>417.5</v>
      </c>
      <c r="O690" s="1131">
        <f>((N690/J690)-1)*100%</f>
        <v>1.6684632211699135E-2</v>
      </c>
      <c r="P690" s="1415">
        <f>((N690/I690)-1)*100%</f>
        <v>-4.9827446531122366E-2</v>
      </c>
      <c r="Q690" s="331">
        <v>7.400468749999999</v>
      </c>
      <c r="R690" s="382">
        <f>Q690*$R$33</f>
        <v>348.06624671874994</v>
      </c>
      <c r="S690" s="918">
        <f>((J690-R690)/J690)*100%</f>
        <v>0.15239855322021834</v>
      </c>
      <c r="T690" s="919">
        <f>((I690-R690)/I690)*100%</f>
        <v>0.20784911515908269</v>
      </c>
      <c r="U690" s="261">
        <v>6.2488800000000007</v>
      </c>
      <c r="V690" s="239">
        <f>U690*$X$31</f>
        <v>7.4986560000000004</v>
      </c>
      <c r="W690" s="239">
        <f>V690*$R$33</f>
        <v>352.68428764800001</v>
      </c>
      <c r="X690" s="240">
        <f>(ROUND(W690/(1-$AC$685),0))</f>
        <v>420</v>
      </c>
      <c r="Y690" s="239">
        <f>Z690*(1-$X$591)</f>
        <v>404.92</v>
      </c>
      <c r="Z690" s="240">
        <f>ROUND(X690/(1-$X$590),0)</f>
        <v>764</v>
      </c>
      <c r="AA690" s="241">
        <f>((X690-W690)/X690)*100%</f>
        <v>0.16027550559999998</v>
      </c>
      <c r="AB690" s="241">
        <f>((Y690-W690)/Y690)*100%</f>
        <v>0.12900254952089302</v>
      </c>
      <c r="AC690" s="1198">
        <f>((N690/Y690)-1)*100%</f>
        <v>3.1067865257334848E-2</v>
      </c>
      <c r="AD690" s="1004">
        <f>((N690*0.96-W690)/(N690*0.96))*100%</f>
        <v>0.12004918251497006</v>
      </c>
      <c r="AE690" s="238">
        <f>N690/$R$33</f>
        <v>8.8767461144302935</v>
      </c>
      <c r="AF690" s="239">
        <f>(V690/(1-$AC$685))</f>
        <v>8.926971428571429</v>
      </c>
      <c r="AG690" s="1868">
        <v>16.23</v>
      </c>
      <c r="AH690" s="244">
        <f>((AF690-V690)/AF690)*100%</f>
        <v>0.16</v>
      </c>
      <c r="AI690" s="866">
        <f>AJ690/$AJ$691</f>
        <v>0.21946115616008371</v>
      </c>
      <c r="AJ690" s="86">
        <f>[1]Статистика!D34</f>
        <v>839</v>
      </c>
      <c r="AK690" s="865">
        <f>Q690*S690*AJ690</f>
        <v>946.24159301655618</v>
      </c>
      <c r="AL690" s="92">
        <f>AK690/$AK$691</f>
        <v>0.32061815867525684</v>
      </c>
      <c r="AM690" s="92">
        <f>AJ690/$AJ$745</f>
        <v>1.4263613335373421E-2</v>
      </c>
      <c r="AN690" s="92">
        <f>AK690/$AK$745</f>
        <v>3.7074987617981808E-2</v>
      </c>
      <c r="AO690" s="13"/>
      <c r="AP690" s="13"/>
    </row>
    <row r="691" spans="1:42" ht="15.75" thickBot="1">
      <c r="A691" s="187"/>
      <c r="C691" s="414"/>
      <c r="D691" s="414"/>
      <c r="E691" s="414"/>
      <c r="F691" s="414"/>
      <c r="G691" s="827"/>
      <c r="H691" s="785"/>
      <c r="I691" s="785"/>
      <c r="J691" s="897"/>
      <c r="K691" s="533"/>
      <c r="P691" s="886"/>
      <c r="Q691" s="1091"/>
      <c r="R691" s="1092"/>
      <c r="S691" s="364"/>
      <c r="T691" s="365"/>
      <c r="U691" s="366"/>
      <c r="V691" s="366"/>
      <c r="W691" s="366"/>
      <c r="X691" s="366"/>
      <c r="Y691" s="366"/>
      <c r="Z691" s="366"/>
      <c r="AA691" s="367"/>
      <c r="AB691" s="367"/>
      <c r="AC691" s="367"/>
      <c r="AD691" s="367">
        <f>AVERAGE(AD687:AD690)</f>
        <v>0.22117480697342506</v>
      </c>
      <c r="AE691" s="366"/>
      <c r="AF691" s="366"/>
      <c r="AG691" s="1872"/>
      <c r="AH691" s="367"/>
      <c r="AI691" s="512">
        <f>S687*AI687+S688*AI688+S689*AI689+S690*AI690</f>
        <v>0.14505026230075332</v>
      </c>
      <c r="AJ691" s="304">
        <f>SUM(AJ687:AJ690)</f>
        <v>3823</v>
      </c>
      <c r="AK691" s="514">
        <f>SUM(AK687:AK690)</f>
        <v>2951.3038092610714</v>
      </c>
      <c r="AM691" s="307">
        <f>SUM(AM687:AM690)</f>
        <v>6.4993794733173529E-2</v>
      </c>
      <c r="AN691" s="307">
        <f>SUM(AN687:AN690)</f>
        <v>0.11563595702492258</v>
      </c>
      <c r="AO691" s="13"/>
      <c r="AP691" s="13"/>
    </row>
    <row r="692" spans="1:42" ht="15.75" thickBot="1">
      <c r="A692" s="149" t="s">
        <v>1316</v>
      </c>
      <c r="C692" s="157" t="s">
        <v>83</v>
      </c>
      <c r="G692" s="1340"/>
      <c r="H692" s="1341"/>
      <c r="I692" s="1342"/>
      <c r="J692" s="1343"/>
      <c r="K692" s="2309" t="s">
        <v>1317</v>
      </c>
      <c r="L692" s="2309"/>
      <c r="M692" s="2309"/>
      <c r="N692" s="2309"/>
      <c r="O692" s="2309"/>
      <c r="P692" s="1852"/>
      <c r="T692" s="1851"/>
      <c r="U692" s="627"/>
      <c r="V692" s="627"/>
      <c r="W692" s="627"/>
      <c r="X692" s="627"/>
      <c r="Y692" s="627"/>
      <c r="Z692" s="627"/>
      <c r="AA692" s="614">
        <v>0.24</v>
      </c>
      <c r="AB692" s="628"/>
      <c r="AC692" s="628"/>
      <c r="AD692" s="1851"/>
      <c r="AE692" s="188"/>
      <c r="AF692" s="188"/>
      <c r="AG692" s="1866"/>
      <c r="AH692" s="1851"/>
      <c r="AO692" s="13"/>
      <c r="AP692" s="13"/>
    </row>
    <row r="693" spans="1:42" ht="36.75" thickBot="1">
      <c r="A693" s="187"/>
      <c r="B693" s="369" t="s">
        <v>10</v>
      </c>
      <c r="C693" s="1334" t="s">
        <v>11</v>
      </c>
      <c r="D693" s="370" t="s">
        <v>12</v>
      </c>
      <c r="E693" s="370" t="s">
        <v>13</v>
      </c>
      <c r="F693" s="370" t="s">
        <v>14</v>
      </c>
      <c r="G693" s="371" t="s">
        <v>15</v>
      </c>
      <c r="H693" s="372" t="s">
        <v>1090</v>
      </c>
      <c r="I693" s="372">
        <f>$C$17</f>
        <v>0.45</v>
      </c>
      <c r="J693" s="684">
        <f>$C$17</f>
        <v>0.45</v>
      </c>
      <c r="K693" s="548" t="s">
        <v>15</v>
      </c>
      <c r="L693" s="423" t="s">
        <v>12</v>
      </c>
      <c r="M693" s="196" t="s">
        <v>1091</v>
      </c>
      <c r="N693" s="549" t="s">
        <v>993</v>
      </c>
      <c r="O693" s="424" t="s">
        <v>1092</v>
      </c>
      <c r="P693" s="772" t="s">
        <v>1092</v>
      </c>
      <c r="Q693" s="200" t="s">
        <v>1093</v>
      </c>
      <c r="R693" s="201" t="s">
        <v>1094</v>
      </c>
      <c r="S693" s="202" t="s">
        <v>1095</v>
      </c>
      <c r="T693" s="958" t="s">
        <v>1095</v>
      </c>
      <c r="U693" s="204" t="s">
        <v>1096</v>
      </c>
      <c r="V693" s="205" t="s">
        <v>1093</v>
      </c>
      <c r="W693" s="206" t="s">
        <v>1094</v>
      </c>
      <c r="X693" s="207" t="s">
        <v>1097</v>
      </c>
      <c r="Y693" s="208">
        <f>$X$591</f>
        <v>0.47</v>
      </c>
      <c r="Z693" s="207" t="s">
        <v>1098</v>
      </c>
      <c r="AA693" s="209" t="s">
        <v>1099</v>
      </c>
      <c r="AB693" s="209" t="s">
        <v>1100</v>
      </c>
      <c r="AC693" s="210" t="s">
        <v>1092</v>
      </c>
      <c r="AD693" s="211" t="s">
        <v>1101</v>
      </c>
      <c r="AE693" s="209" t="s">
        <v>1102</v>
      </c>
      <c r="AF693" s="208" t="s">
        <v>1103</v>
      </c>
      <c r="AG693" s="1867" t="s">
        <v>1104</v>
      </c>
      <c r="AH693" s="213" t="s">
        <v>1116</v>
      </c>
      <c r="AJ693" s="483" t="s">
        <v>1107</v>
      </c>
      <c r="AK693" s="484" t="s">
        <v>1108</v>
      </c>
      <c r="AM693" s="219" t="s">
        <v>1175</v>
      </c>
      <c r="AN693" s="219" t="s">
        <v>1176</v>
      </c>
      <c r="AO693" s="13"/>
      <c r="AP693" s="13"/>
    </row>
    <row r="694" spans="1:42" ht="16.5" thickBot="1">
      <c r="A694" s="187"/>
      <c r="B694" s="753" t="s">
        <v>296</v>
      </c>
      <c r="C694" s="1416" t="s">
        <v>297</v>
      </c>
      <c r="D694" s="755">
        <v>45</v>
      </c>
      <c r="E694" s="755">
        <v>1</v>
      </c>
      <c r="F694" s="755">
        <v>400</v>
      </c>
      <c r="G694" s="756">
        <v>56.621314293818386</v>
      </c>
      <c r="H694" s="488">
        <f>G694*(1+$H$33)</f>
        <v>60.584806294385679</v>
      </c>
      <c r="I694" s="488">
        <f>H694-H694*$J$594</f>
        <v>33.321643461912124</v>
      </c>
      <c r="J694" s="1040">
        <f>G694-G694*$J$594</f>
        <v>31.141722861600112</v>
      </c>
      <c r="K694" s="254">
        <v>106</v>
      </c>
      <c r="L694" s="322">
        <v>44</v>
      </c>
      <c r="M694" s="860">
        <f>L694/D694*100%</f>
        <v>0.97777777777777775</v>
      </c>
      <c r="N694" s="382">
        <f>K694-(K694*$O$33)</f>
        <v>53</v>
      </c>
      <c r="O694" s="329">
        <f>((N694/J694)-1)*100%</f>
        <v>0.70189684865999014</v>
      </c>
      <c r="P694" s="438">
        <f>((N694/I694)-1)*100%</f>
        <v>0.59055780248597189</v>
      </c>
      <c r="Q694" s="326">
        <v>0.69000000000000006</v>
      </c>
      <c r="R694" s="258">
        <f>Q694*$R$33</f>
        <v>32.452770000000001</v>
      </c>
      <c r="S694" s="259">
        <f>((J694-R694)/J694)*100%</f>
        <v>-4.2099377231839041E-2</v>
      </c>
      <c r="T694" s="696">
        <f>((I694-R694)/I694)*100%</f>
        <v>2.6075348381458977E-2</v>
      </c>
      <c r="U694" s="238">
        <v>0.58509</v>
      </c>
      <c r="V694" s="239">
        <f>U694*$X$31</f>
        <v>0.70210799999999995</v>
      </c>
      <c r="W694" s="239">
        <f>V694*$R$33</f>
        <v>33.022245564000002</v>
      </c>
      <c r="X694" s="240">
        <f>(ROUND(W694/(1-$AA$692),0))</f>
        <v>43</v>
      </c>
      <c r="Y694" s="239">
        <f>Z694*(1-$X$591)</f>
        <v>41.34</v>
      </c>
      <c r="Z694" s="240">
        <f>ROUND(X694/(1-$X$590),0)</f>
        <v>78</v>
      </c>
      <c r="AA694" s="241">
        <f>((X694-W694)/X694)*100%</f>
        <v>0.23204080083720927</v>
      </c>
      <c r="AB694" s="241">
        <f>((Y694-W694)/Y694)*100%</f>
        <v>0.20120354223512338</v>
      </c>
      <c r="AC694" s="1198">
        <f>((N694/Y694)-1)*100%</f>
        <v>0.28205128205128194</v>
      </c>
      <c r="AD694" s="1004">
        <f>((N694*0.96-W694)/(N694*0.96))*100%</f>
        <v>0.35097787806603764</v>
      </c>
      <c r="AE694" s="238">
        <f>N694/$R$33</f>
        <v>1.1268683690174983</v>
      </c>
      <c r="AF694" s="239">
        <f>(V694/(1-$AA$692))</f>
        <v>0.92382631578947361</v>
      </c>
      <c r="AG694" s="1868">
        <v>1.68</v>
      </c>
      <c r="AH694" s="244">
        <f>((AF694-V694)/AF694)*100%</f>
        <v>0.24</v>
      </c>
      <c r="AJ694" s="1160">
        <f>[1]Статистика!D60</f>
        <v>34573</v>
      </c>
      <c r="AK694" s="76">
        <f>AJ694*Q694*S694</f>
        <v>-1004.2962206350962</v>
      </c>
      <c r="AM694" s="499">
        <f>AJ694/$AJ$745</f>
        <v>0.58776627394977987</v>
      </c>
      <c r="AN694" s="499">
        <f>AK694/$AK$745</f>
        <v>-3.93496441285483E-2</v>
      </c>
      <c r="AO694" s="13"/>
      <c r="AP694" s="13"/>
    </row>
    <row r="695" spans="1:42">
      <c r="A695" s="187"/>
      <c r="B695" s="413"/>
      <c r="C695" s="414"/>
      <c r="D695" s="414"/>
      <c r="E695" s="414"/>
      <c r="F695" s="414"/>
      <c r="G695" s="827"/>
      <c r="H695" s="785"/>
      <c r="I695" s="785"/>
      <c r="J695" s="897"/>
      <c r="K695" s="533"/>
      <c r="T695" s="392"/>
      <c r="U695" s="1417"/>
      <c r="V695" s="1417"/>
      <c r="W695" s="1417"/>
      <c r="X695" s="1417"/>
      <c r="Y695" s="1417"/>
      <c r="Z695" s="1417"/>
      <c r="AA695" s="392"/>
      <c r="AB695" s="392"/>
      <c r="AC695" s="392"/>
      <c r="AD695" s="392"/>
      <c r="AE695" s="1417"/>
      <c r="AF695" s="1417"/>
      <c r="AG695" s="1897"/>
      <c r="AH695" s="392"/>
      <c r="AO695" s="13"/>
      <c r="AP695" s="13"/>
    </row>
    <row r="696" spans="1:42">
      <c r="A696" s="187"/>
      <c r="B696" s="17"/>
      <c r="C696" s="1418"/>
      <c r="D696" s="796"/>
      <c r="E696" s="796"/>
      <c r="F696" s="414"/>
      <c r="G696" s="784"/>
      <c r="H696" s="1058"/>
      <c r="I696" s="785"/>
      <c r="J696" s="897"/>
      <c r="K696" s="533"/>
      <c r="T696" s="392"/>
      <c r="U696" s="1417"/>
      <c r="V696" s="1417"/>
      <c r="W696" s="1417"/>
      <c r="X696" s="1417"/>
      <c r="Y696" s="1417"/>
      <c r="Z696" s="1417"/>
      <c r="AA696" s="392"/>
      <c r="AB696" s="392"/>
      <c r="AC696" s="392"/>
      <c r="AD696" s="392"/>
      <c r="AE696" s="1417"/>
      <c r="AF696" s="1417"/>
      <c r="AG696" s="1897"/>
      <c r="AH696" s="392"/>
      <c r="AO696" s="13"/>
      <c r="AP696" s="13"/>
    </row>
    <row r="697" spans="1:42" ht="19.5" thickBot="1">
      <c r="A697" s="149" t="s">
        <v>923</v>
      </c>
      <c r="B697" s="2368" t="s">
        <v>917</v>
      </c>
      <c r="C697" s="2368"/>
      <c r="D697" s="2368"/>
      <c r="E697" s="2368"/>
      <c r="F697" s="2368"/>
      <c r="G697" s="2369"/>
      <c r="H697" s="1058"/>
      <c r="I697" s="785"/>
      <c r="J697" s="897"/>
      <c r="K697" s="533"/>
      <c r="L697" s="1419"/>
      <c r="M697" s="1420" t="s">
        <v>1318</v>
      </c>
      <c r="N697" s="1106"/>
      <c r="T697" s="1851"/>
      <c r="U697" s="627"/>
      <c r="V697" s="627"/>
      <c r="W697" s="627"/>
      <c r="X697" s="627"/>
      <c r="Y697" s="627"/>
      <c r="Z697" s="627"/>
      <c r="AA697" s="614">
        <v>0.22</v>
      </c>
      <c r="AB697" s="628">
        <v>0.3</v>
      </c>
      <c r="AC697" s="628"/>
      <c r="AD697" s="1851"/>
      <c r="AE697" s="188"/>
      <c r="AF697" s="188"/>
      <c r="AG697" s="1866"/>
      <c r="AH697" s="1851"/>
      <c r="AO697" s="13"/>
      <c r="AP697" s="13"/>
    </row>
    <row r="698" spans="1:42" ht="36.75" thickBot="1">
      <c r="A698" s="187"/>
      <c r="B698" s="799" t="s">
        <v>10</v>
      </c>
      <c r="C698" s="1421" t="s">
        <v>11</v>
      </c>
      <c r="D698" s="801" t="s">
        <v>12</v>
      </c>
      <c r="E698" s="801" t="s">
        <v>13</v>
      </c>
      <c r="F698" s="1422" t="s">
        <v>14</v>
      </c>
      <c r="G698" s="392"/>
      <c r="H698" s="347" t="s">
        <v>1090</v>
      </c>
      <c r="I698" s="347">
        <f>$C$17</f>
        <v>0.45</v>
      </c>
      <c r="J698" s="897"/>
      <c r="K698" s="548" t="s">
        <v>15</v>
      </c>
      <c r="L698" s="423" t="s">
        <v>12</v>
      </c>
      <c r="M698" s="196" t="s">
        <v>1091</v>
      </c>
      <c r="N698" s="549" t="s">
        <v>993</v>
      </c>
      <c r="O698" s="424" t="s">
        <v>1092</v>
      </c>
      <c r="P698" s="602" t="s">
        <v>1092</v>
      </c>
      <c r="Q698" s="200" t="s">
        <v>1093</v>
      </c>
      <c r="R698" s="201" t="s">
        <v>1094</v>
      </c>
      <c r="S698" s="350" t="s">
        <v>1095</v>
      </c>
      <c r="T698" s="1376" t="s">
        <v>1095</v>
      </c>
      <c r="U698" s="204" t="s">
        <v>1096</v>
      </c>
      <c r="V698" s="205" t="s">
        <v>1093</v>
      </c>
      <c r="W698" s="206" t="s">
        <v>1094</v>
      </c>
      <c r="X698" s="207" t="s">
        <v>1097</v>
      </c>
      <c r="Y698" s="208">
        <f>$X$591</f>
        <v>0.47</v>
      </c>
      <c r="Z698" s="207" t="s">
        <v>1098</v>
      </c>
      <c r="AA698" s="209" t="s">
        <v>1099</v>
      </c>
      <c r="AB698" s="209" t="s">
        <v>1100</v>
      </c>
      <c r="AC698" s="210" t="s">
        <v>1092</v>
      </c>
      <c r="AD698" s="211" t="s">
        <v>1101</v>
      </c>
      <c r="AE698" s="209" t="s">
        <v>1102</v>
      </c>
      <c r="AF698" s="208" t="s">
        <v>1103</v>
      </c>
      <c r="AG698" s="1867" t="s">
        <v>1104</v>
      </c>
      <c r="AH698" s="213" t="s">
        <v>1116</v>
      </c>
      <c r="AO698" s="13"/>
      <c r="AP698" s="13"/>
    </row>
    <row r="699" spans="1:42" ht="15.75">
      <c r="A699" s="187"/>
      <c r="B699" s="1423" t="s">
        <v>919</v>
      </c>
      <c r="C699" s="1424" t="s">
        <v>920</v>
      </c>
      <c r="D699" s="1100">
        <v>74</v>
      </c>
      <c r="E699" s="1100">
        <v>1</v>
      </c>
      <c r="F699" s="1425">
        <v>200</v>
      </c>
      <c r="G699" s="17"/>
      <c r="H699" s="357">
        <v>105</v>
      </c>
      <c r="I699" s="357">
        <f>H699-H699*$I$698</f>
        <v>57.75</v>
      </c>
      <c r="J699" s="897"/>
      <c r="K699" s="807">
        <v>132</v>
      </c>
      <c r="L699" s="808">
        <v>63</v>
      </c>
      <c r="M699" s="878">
        <f>L699/D699*100%</f>
        <v>0.85135135135135132</v>
      </c>
      <c r="N699" s="235">
        <f>K699-(K699*$O$33)</f>
        <v>66</v>
      </c>
      <c r="O699" s="880"/>
      <c r="P699" s="472">
        <f>((N699/I699)-1)*100%</f>
        <v>0.14285714285714279</v>
      </c>
      <c r="Q699" s="326">
        <v>0.93120000000000003</v>
      </c>
      <c r="R699" s="258">
        <f>Q699*$R$33</f>
        <v>43.797129600000005</v>
      </c>
      <c r="S699" s="1314"/>
      <c r="T699" s="696">
        <f>((I699-R699)/I699)*100%</f>
        <v>0.24160814545454537</v>
      </c>
      <c r="U699" s="238">
        <v>0.77600000000000002</v>
      </c>
      <c r="V699" s="239">
        <f>U699*$X$31</f>
        <v>0.93120000000000003</v>
      </c>
      <c r="W699" s="239">
        <f>V699*$R$33</f>
        <v>43.797129600000005</v>
      </c>
      <c r="X699" s="240">
        <f>(ROUND(W699/(1-$AA$697),0))</f>
        <v>56</v>
      </c>
      <c r="Y699" s="239">
        <f>Z699*(1-$X$591)</f>
        <v>54.06</v>
      </c>
      <c r="Z699" s="240">
        <f>ROUND(X699/(1-$X$590),0)</f>
        <v>102</v>
      </c>
      <c r="AA699" s="241">
        <f>((X699-W699)/X699)*100%</f>
        <v>0.21790839999999992</v>
      </c>
      <c r="AB699" s="241">
        <f>((Y699-W699)/Y699)*100%</f>
        <v>0.1898422197558268</v>
      </c>
      <c r="AC699" s="1198">
        <f>((N699/Y699)-1)*100%</f>
        <v>0.22086570477247491</v>
      </c>
      <c r="AD699" s="1004">
        <f>((N699*0.96-W699)/(N699*0.96))*100%</f>
        <v>0.30875742424242414</v>
      </c>
      <c r="AE699" s="238">
        <f>N699/$R$33</f>
        <v>1.4032700444368846</v>
      </c>
      <c r="AF699" s="239">
        <f>(V699/(1-$AA$697))</f>
        <v>1.1938461538461538</v>
      </c>
      <c r="AG699" s="1868">
        <v>2.17</v>
      </c>
      <c r="AH699" s="244">
        <f>((AF699-V699)/AF699)*100%</f>
        <v>0.21999999999999995</v>
      </c>
      <c r="AO699" s="13"/>
      <c r="AP699" s="13"/>
    </row>
    <row r="700" spans="1:42" ht="16.5" thickBot="1">
      <c r="A700" s="187"/>
      <c r="B700" s="1103" t="s">
        <v>922</v>
      </c>
      <c r="C700" s="1426" t="s">
        <v>921</v>
      </c>
      <c r="D700" s="790">
        <v>75</v>
      </c>
      <c r="E700" s="790">
        <v>1</v>
      </c>
      <c r="F700" s="1427">
        <v>200</v>
      </c>
      <c r="G700" s="17"/>
      <c r="H700" s="357">
        <v>109</v>
      </c>
      <c r="I700" s="357">
        <f>H700-H700*$I$698</f>
        <v>59.949999999999996</v>
      </c>
      <c r="J700" s="897"/>
      <c r="K700" s="321">
        <v>146</v>
      </c>
      <c r="L700" s="322">
        <v>68</v>
      </c>
      <c r="M700" s="335">
        <f>L700/D700*100%</f>
        <v>0.90666666666666662</v>
      </c>
      <c r="N700" s="382">
        <f>K700-(K700*$O$33)</f>
        <v>73</v>
      </c>
      <c r="O700" s="386"/>
      <c r="P700" s="472">
        <f>((N700/I700)-1)*100%</f>
        <v>0.21768140116763979</v>
      </c>
      <c r="Q700" s="331">
        <v>0.95520000000000005</v>
      </c>
      <c r="R700" s="382">
        <f>Q700*$R$33</f>
        <v>44.925921600000002</v>
      </c>
      <c r="S700" s="918"/>
      <c r="T700" s="696">
        <f>((I700-R700)/I700)*100%</f>
        <v>0.25061014845704743</v>
      </c>
      <c r="U700" s="261">
        <v>0.79600000000000004</v>
      </c>
      <c r="V700" s="239">
        <f>U700*$X$31</f>
        <v>0.95520000000000005</v>
      </c>
      <c r="W700" s="239">
        <f>V700*$R$33</f>
        <v>44.925921600000002</v>
      </c>
      <c r="X700" s="240">
        <f>(ROUND(W700/(1-$AB$697),0))</f>
        <v>64</v>
      </c>
      <c r="Y700" s="239">
        <f>Z700*(1-$X$591)</f>
        <v>61.480000000000004</v>
      </c>
      <c r="Z700" s="240">
        <f>ROUND(X700/(1-$X$590),0)</f>
        <v>116</v>
      </c>
      <c r="AA700" s="241">
        <f>((X700-W700)/X700)*100%</f>
        <v>0.29803247499999996</v>
      </c>
      <c r="AB700" s="241">
        <f>((Y700-W700)/Y700)*100%</f>
        <v>0.26925957059206246</v>
      </c>
      <c r="AC700" s="1198">
        <f>((N700/Y700)-1)*100%</f>
        <v>0.18737800910865321</v>
      </c>
      <c r="AD700" s="1004">
        <f>((N700*0.96-W700)/(N700*0.96))*100%</f>
        <v>0.35893376712328762</v>
      </c>
      <c r="AE700" s="238">
        <f>N700/$R$33</f>
        <v>1.5521017158165542</v>
      </c>
      <c r="AF700" s="239">
        <f>(V700/(1-$AB$697))</f>
        <v>1.3645714285714288</v>
      </c>
      <c r="AG700" s="1868">
        <v>2.48</v>
      </c>
      <c r="AH700" s="244">
        <f>((AF700-V700)/AF700)*100%</f>
        <v>0.30000000000000004</v>
      </c>
      <c r="AO700" s="13"/>
      <c r="AP700" s="13"/>
    </row>
    <row r="701" spans="1:42">
      <c r="A701" s="187"/>
      <c r="B701" s="187"/>
      <c r="C701" s="620"/>
      <c r="D701" s="187"/>
      <c r="E701" s="187"/>
      <c r="G701" s="17"/>
      <c r="H701" s="187"/>
      <c r="I701" s="1058"/>
      <c r="J701" s="897"/>
      <c r="K701" s="533"/>
      <c r="T701" s="392"/>
      <c r="U701" s="1417"/>
      <c r="V701" s="1417"/>
      <c r="W701" s="1417"/>
      <c r="X701" s="1417"/>
      <c r="Y701" s="1417"/>
      <c r="Z701" s="1417"/>
      <c r="AA701" s="392"/>
      <c r="AB701" s="392"/>
      <c r="AC701" s="392"/>
      <c r="AD701" s="1249">
        <f>AVERAGE(AD699:AD700)</f>
        <v>0.33384559568285588</v>
      </c>
      <c r="AE701" s="1417"/>
      <c r="AF701" s="1417"/>
      <c r="AG701" s="1897"/>
      <c r="AH701" s="392"/>
      <c r="AO701" s="13"/>
      <c r="AP701" s="13"/>
    </row>
    <row r="702" spans="1:42" ht="19.5" thickBot="1">
      <c r="A702" s="149" t="s">
        <v>924</v>
      </c>
      <c r="B702" s="2368" t="s">
        <v>918</v>
      </c>
      <c r="C702" s="2368"/>
      <c r="D702" s="2368"/>
      <c r="E702" s="2368"/>
      <c r="F702" s="2368"/>
      <c r="G702" s="2369"/>
      <c r="H702" s="1058"/>
      <c r="I702" s="785"/>
      <c r="J702" s="897"/>
      <c r="K702" s="533"/>
      <c r="L702" s="1419"/>
      <c r="M702" s="1420" t="s">
        <v>1319</v>
      </c>
      <c r="N702" s="1106"/>
      <c r="T702" s="1851"/>
      <c r="U702" s="627"/>
      <c r="V702" s="627"/>
      <c r="W702" s="627"/>
      <c r="X702" s="627"/>
      <c r="Y702" s="627"/>
      <c r="Z702" s="627"/>
      <c r="AA702" s="614">
        <v>0.18</v>
      </c>
      <c r="AB702" s="628">
        <v>0.23</v>
      </c>
      <c r="AC702" s="628"/>
      <c r="AD702" s="1851"/>
      <c r="AE702" s="188"/>
      <c r="AF702" s="188"/>
      <c r="AG702" s="1866"/>
      <c r="AH702" s="1851"/>
      <c r="AO702" s="13"/>
      <c r="AP702" s="13"/>
    </row>
    <row r="703" spans="1:42" ht="36.75" thickBot="1">
      <c r="A703" s="187"/>
      <c r="B703" s="799" t="s">
        <v>10</v>
      </c>
      <c r="C703" s="1421" t="s">
        <v>11</v>
      </c>
      <c r="D703" s="801" t="s">
        <v>12</v>
      </c>
      <c r="E703" s="801" t="s">
        <v>13</v>
      </c>
      <c r="F703" s="802" t="s">
        <v>14</v>
      </c>
      <c r="G703" s="392"/>
      <c r="H703" s="347" t="s">
        <v>1090</v>
      </c>
      <c r="I703" s="347">
        <f>$C$17</f>
        <v>0.45</v>
      </c>
      <c r="J703" s="897"/>
      <c r="K703" s="548" t="s">
        <v>15</v>
      </c>
      <c r="L703" s="423" t="s">
        <v>12</v>
      </c>
      <c r="M703" s="196" t="s">
        <v>1091</v>
      </c>
      <c r="N703" s="549" t="s">
        <v>993</v>
      </c>
      <c r="O703" s="424" t="s">
        <v>1092</v>
      </c>
      <c r="P703" s="602" t="s">
        <v>1092</v>
      </c>
      <c r="Q703" s="200" t="s">
        <v>1093</v>
      </c>
      <c r="R703" s="201" t="s">
        <v>1094</v>
      </c>
      <c r="S703" s="350" t="s">
        <v>1095</v>
      </c>
      <c r="T703" s="1376" t="s">
        <v>1095</v>
      </c>
      <c r="U703" s="204" t="s">
        <v>1096</v>
      </c>
      <c r="V703" s="205" t="s">
        <v>1093</v>
      </c>
      <c r="W703" s="206" t="s">
        <v>1094</v>
      </c>
      <c r="X703" s="207" t="s">
        <v>1097</v>
      </c>
      <c r="Y703" s="208">
        <f>$X$591</f>
        <v>0.47</v>
      </c>
      <c r="Z703" s="207" t="s">
        <v>1098</v>
      </c>
      <c r="AA703" s="209" t="s">
        <v>1099</v>
      </c>
      <c r="AB703" s="209" t="s">
        <v>1100</v>
      </c>
      <c r="AC703" s="210" t="s">
        <v>1092</v>
      </c>
      <c r="AD703" s="211" t="s">
        <v>1101</v>
      </c>
      <c r="AE703" s="209" t="s">
        <v>1102</v>
      </c>
      <c r="AF703" s="208" t="s">
        <v>1103</v>
      </c>
      <c r="AG703" s="1867" t="s">
        <v>1104</v>
      </c>
      <c r="AH703" s="213" t="s">
        <v>1116</v>
      </c>
      <c r="AO703" s="13"/>
      <c r="AP703" s="13"/>
    </row>
    <row r="704" spans="1:42" ht="15.75">
      <c r="A704" s="187"/>
      <c r="B704" s="1423" t="s">
        <v>925</v>
      </c>
      <c r="C704" s="1424" t="s">
        <v>920</v>
      </c>
      <c r="D704" s="1100">
        <v>79</v>
      </c>
      <c r="E704" s="1100">
        <v>1</v>
      </c>
      <c r="F704" s="224">
        <v>200</v>
      </c>
      <c r="G704" s="17"/>
      <c r="H704" s="357">
        <v>100</v>
      </c>
      <c r="I704" s="357">
        <f>H704-H704*$I$698</f>
        <v>55</v>
      </c>
      <c r="J704" s="897"/>
      <c r="K704" s="807">
        <v>117</v>
      </c>
      <c r="L704" s="808">
        <v>57</v>
      </c>
      <c r="M704" s="878">
        <f>L704/D704*100%</f>
        <v>0.72151898734177211</v>
      </c>
      <c r="N704" s="235">
        <f>K704-(K704*$O$33)</f>
        <v>58.5</v>
      </c>
      <c r="O704" s="880"/>
      <c r="P704" s="472">
        <f>((N704/I704)-1)*100%</f>
        <v>6.3636363636363713E-2</v>
      </c>
      <c r="Q704" s="326">
        <v>0.96120000000000005</v>
      </c>
      <c r="R704" s="258">
        <f>Q704*$R$33</f>
        <v>45.208119600000003</v>
      </c>
      <c r="S704" s="1314"/>
      <c r="T704" s="696">
        <f>((I704-R704)/I704)*100%</f>
        <v>0.17803418909090904</v>
      </c>
      <c r="U704" s="238">
        <v>0.80100000000000005</v>
      </c>
      <c r="V704" s="239">
        <f>U704*$X$31</f>
        <v>0.96120000000000005</v>
      </c>
      <c r="W704" s="239">
        <f>V704*$R$33</f>
        <v>45.208119600000003</v>
      </c>
      <c r="X704" s="240">
        <f>(ROUND(W704/(1-$AA$702),0))</f>
        <v>55</v>
      </c>
      <c r="Y704" s="239">
        <f>Z704*(1-$X$591)</f>
        <v>53</v>
      </c>
      <c r="Z704" s="240">
        <f>ROUND(X704/(1-$X$590),0)</f>
        <v>100</v>
      </c>
      <c r="AA704" s="241">
        <f>((X704-W704)/X704)*100%</f>
        <v>0.17803418909090904</v>
      </c>
      <c r="AB704" s="241">
        <f>((Y704-W704)/Y704)*100%</f>
        <v>0.14701661132075466</v>
      </c>
      <c r="AC704" s="1198">
        <f>((N704/Y704)-1)*100%</f>
        <v>0.10377358490566047</v>
      </c>
      <c r="AD704" s="1004">
        <f>((N704*0.96-W704)/(N704*0.96))*100%</f>
        <v>0.19501211538461527</v>
      </c>
      <c r="AE704" s="238">
        <f>N704/$R$33</f>
        <v>1.2438075393872388</v>
      </c>
      <c r="AF704" s="239">
        <f>(V704/(1-$AA$702))</f>
        <v>1.1721951219512194</v>
      </c>
      <c r="AG704" s="1868">
        <v>2.13</v>
      </c>
      <c r="AH704" s="244">
        <f>((AF704-V704)/AF704)*100%</f>
        <v>0.17999999999999991</v>
      </c>
      <c r="AO704" s="13"/>
      <c r="AP704" s="13"/>
    </row>
    <row r="705" spans="1:42" ht="16.5" thickBot="1">
      <c r="A705" s="187"/>
      <c r="B705" s="1103" t="s">
        <v>926</v>
      </c>
      <c r="C705" s="1426" t="s">
        <v>921</v>
      </c>
      <c r="D705" s="790">
        <v>80</v>
      </c>
      <c r="E705" s="790">
        <v>1</v>
      </c>
      <c r="F705" s="276">
        <v>200</v>
      </c>
      <c r="G705" s="17"/>
      <c r="H705" s="357">
        <v>103</v>
      </c>
      <c r="I705" s="357">
        <f>H705-H705*$I$698</f>
        <v>56.65</v>
      </c>
      <c r="J705" s="897"/>
      <c r="K705" s="321">
        <v>128</v>
      </c>
      <c r="L705" s="322">
        <v>75</v>
      </c>
      <c r="M705" s="335">
        <f>L705/D705*100%</f>
        <v>0.9375</v>
      </c>
      <c r="N705" s="382">
        <f>K705-(K705*$O$33)</f>
        <v>64</v>
      </c>
      <c r="O705" s="386"/>
      <c r="P705" s="472">
        <f>((N705/I705)-1)*100%</f>
        <v>0.12974404236540171</v>
      </c>
      <c r="Q705" s="331">
        <v>0.98519999999999985</v>
      </c>
      <c r="R705" s="382">
        <f>Q705*$R$33</f>
        <v>46.336911599999993</v>
      </c>
      <c r="S705" s="918"/>
      <c r="T705" s="696">
        <f>((I705-R705)/I705)*100%</f>
        <v>0.1820492215357459</v>
      </c>
      <c r="U705" s="261">
        <v>0.82099999999999995</v>
      </c>
      <c r="V705" s="239">
        <f>U705*$X$31</f>
        <v>0.98519999999999985</v>
      </c>
      <c r="W705" s="239">
        <f>V705*$R$33</f>
        <v>46.336911599999993</v>
      </c>
      <c r="X705" s="240">
        <f>(ROUND(W705/(1-$AB$702),0))</f>
        <v>60</v>
      </c>
      <c r="Y705" s="239">
        <f>Z705*(1-$X$591)</f>
        <v>57.77</v>
      </c>
      <c r="Z705" s="240">
        <f>ROUND(X705/(1-$X$590),0)</f>
        <v>109</v>
      </c>
      <c r="AA705" s="241">
        <f>((X705-W705)/X705)*100%</f>
        <v>0.2277181400000001</v>
      </c>
      <c r="AB705" s="241">
        <f>((Y705-W705)/Y705)*100%</f>
        <v>0.19790701748312289</v>
      </c>
      <c r="AC705" s="1198">
        <f>((N705/Y705)-1)*100%</f>
        <v>0.1078414401938721</v>
      </c>
      <c r="AD705" s="1004">
        <f>((N705*0.96-W705)/(N705*0.96))*100%</f>
        <v>0.24581849609375009</v>
      </c>
      <c r="AE705" s="238">
        <f>N705/$R$33</f>
        <v>1.3607467097569792</v>
      </c>
      <c r="AF705" s="239">
        <f>(V705/(1-$AB$702))</f>
        <v>1.2794805194805192</v>
      </c>
      <c r="AG705" s="1868">
        <v>2.33</v>
      </c>
      <c r="AH705" s="244">
        <f>((AF705-V705)/AF705)*100%</f>
        <v>0.22999999999999995</v>
      </c>
      <c r="AO705" s="13"/>
      <c r="AP705" s="13"/>
    </row>
    <row r="706" spans="1:42">
      <c r="A706" s="187"/>
      <c r="B706" s="797"/>
      <c r="C706" s="1418"/>
      <c r="D706" s="796"/>
      <c r="E706" s="796"/>
      <c r="F706" s="414"/>
      <c r="G706" s="17"/>
      <c r="H706" s="784"/>
      <c r="I706" s="1058"/>
      <c r="J706" s="897"/>
      <c r="K706" s="533"/>
      <c r="T706" s="392"/>
      <c r="U706" s="1417"/>
      <c r="V706" s="1417"/>
      <c r="W706" s="1417"/>
      <c r="X706" s="1417"/>
      <c r="Y706" s="1417"/>
      <c r="Z706" s="1417"/>
      <c r="AA706" s="392"/>
      <c r="AB706" s="392"/>
      <c r="AC706" s="392"/>
      <c r="AD706" s="1249">
        <f>AVERAGE(AD704:AD705)</f>
        <v>0.22041530573918267</v>
      </c>
      <c r="AE706" s="1417"/>
      <c r="AF706" s="1417"/>
      <c r="AG706" s="1897"/>
      <c r="AH706" s="392"/>
      <c r="AO706" s="13"/>
      <c r="AP706" s="13"/>
    </row>
    <row r="707" spans="1:42" ht="19.5" thickBot="1">
      <c r="A707" s="149" t="s">
        <v>929</v>
      </c>
      <c r="B707" s="2368" t="s">
        <v>927</v>
      </c>
      <c r="C707" s="2368"/>
      <c r="D707" s="2368"/>
      <c r="E707" s="2368"/>
      <c r="F707" s="2368"/>
      <c r="G707" s="2369"/>
      <c r="H707" s="1058"/>
      <c r="I707" s="785"/>
      <c r="J707" s="897"/>
      <c r="K707" s="533"/>
      <c r="L707" s="1419"/>
      <c r="M707" s="1420" t="s">
        <v>1320</v>
      </c>
      <c r="N707" s="1106"/>
      <c r="T707" s="1851"/>
      <c r="U707" s="627"/>
      <c r="V707" s="627"/>
      <c r="W707" s="627"/>
      <c r="X707" s="627"/>
      <c r="Y707" s="627"/>
      <c r="Z707" s="627"/>
      <c r="AA707" s="614">
        <v>0.45</v>
      </c>
      <c r="AB707" s="628"/>
      <c r="AC707" s="628"/>
      <c r="AD707" s="1851"/>
      <c r="AE707" s="188"/>
      <c r="AF707" s="188"/>
      <c r="AG707" s="1866"/>
      <c r="AH707" s="1851"/>
      <c r="AO707" s="13"/>
      <c r="AP707" s="13"/>
    </row>
    <row r="708" spans="1:42" ht="36.75" thickBot="1">
      <c r="A708" s="187"/>
      <c r="B708" s="799" t="s">
        <v>10</v>
      </c>
      <c r="C708" s="1421" t="s">
        <v>11</v>
      </c>
      <c r="D708" s="801" t="s">
        <v>12</v>
      </c>
      <c r="E708" s="801" t="s">
        <v>13</v>
      </c>
      <c r="F708" s="802" t="s">
        <v>14</v>
      </c>
      <c r="G708" s="392"/>
      <c r="H708" s="347" t="s">
        <v>1090</v>
      </c>
      <c r="I708" s="347">
        <f>$C$17</f>
        <v>0.45</v>
      </c>
      <c r="J708" s="897"/>
      <c r="K708" s="548" t="s">
        <v>15</v>
      </c>
      <c r="L708" s="423" t="s">
        <v>12</v>
      </c>
      <c r="M708" s="196" t="s">
        <v>1091</v>
      </c>
      <c r="N708" s="549" t="s">
        <v>993</v>
      </c>
      <c r="O708" s="424" t="s">
        <v>1092</v>
      </c>
      <c r="P708" s="602" t="s">
        <v>1092</v>
      </c>
      <c r="Q708" s="200" t="s">
        <v>1093</v>
      </c>
      <c r="R708" s="201" t="s">
        <v>1094</v>
      </c>
      <c r="S708" s="350" t="s">
        <v>1095</v>
      </c>
      <c r="T708" s="1376" t="s">
        <v>1095</v>
      </c>
      <c r="U708" s="204" t="s">
        <v>1096</v>
      </c>
      <c r="V708" s="205" t="s">
        <v>1093</v>
      </c>
      <c r="W708" s="206" t="s">
        <v>1094</v>
      </c>
      <c r="X708" s="207" t="s">
        <v>1097</v>
      </c>
      <c r="Y708" s="208">
        <f>$X$591</f>
        <v>0.47</v>
      </c>
      <c r="Z708" s="207" t="s">
        <v>1098</v>
      </c>
      <c r="AA708" s="209" t="s">
        <v>1099</v>
      </c>
      <c r="AB708" s="209" t="s">
        <v>1100</v>
      </c>
      <c r="AC708" s="210" t="s">
        <v>1092</v>
      </c>
      <c r="AD708" s="211" t="s">
        <v>1101</v>
      </c>
      <c r="AE708" s="209" t="s">
        <v>1102</v>
      </c>
      <c r="AF708" s="208" t="s">
        <v>1103</v>
      </c>
      <c r="AG708" s="1867" t="s">
        <v>1104</v>
      </c>
      <c r="AH708" s="213" t="s">
        <v>1116</v>
      </c>
      <c r="AO708" s="13"/>
      <c r="AP708" s="13"/>
    </row>
    <row r="709" spans="1:42" ht="16.5" thickBot="1">
      <c r="A709" s="187"/>
      <c r="B709" s="1067" t="s">
        <v>931</v>
      </c>
      <c r="C709" s="1428" t="s">
        <v>928</v>
      </c>
      <c r="D709" s="1069">
        <v>63</v>
      </c>
      <c r="E709" s="1069">
        <v>1</v>
      </c>
      <c r="F709" s="755">
        <v>20</v>
      </c>
      <c r="G709" s="17"/>
      <c r="H709" s="357">
        <v>278</v>
      </c>
      <c r="I709" s="357">
        <f>H709-H709*$I$698</f>
        <v>152.89999999999998</v>
      </c>
      <c r="J709" s="897"/>
      <c r="K709" s="807">
        <v>679</v>
      </c>
      <c r="L709" s="808">
        <v>60</v>
      </c>
      <c r="M709" s="878">
        <f>L709/D709*100%</f>
        <v>0.95238095238095233</v>
      </c>
      <c r="N709" s="235">
        <f>K709-(K709*$O$33)</f>
        <v>339.5</v>
      </c>
      <c r="O709" s="880"/>
      <c r="P709" s="472">
        <f>((N709/I709)-1)*100%</f>
        <v>1.2204054937867892</v>
      </c>
      <c r="Q709" s="326">
        <v>1.7999999999999998</v>
      </c>
      <c r="R709" s="258">
        <f>Q709*$R$33</f>
        <v>84.659399999999991</v>
      </c>
      <c r="S709" s="1314"/>
      <c r="T709" s="696">
        <f>((I709-R709)/I709)*100%</f>
        <v>0.44630869849574883</v>
      </c>
      <c r="U709" s="238">
        <v>1.5</v>
      </c>
      <c r="V709" s="239">
        <f>U709*$X$31</f>
        <v>1.7999999999999998</v>
      </c>
      <c r="W709" s="239">
        <f>V709*$R$33</f>
        <v>84.659399999999991</v>
      </c>
      <c r="X709" s="240">
        <f>(ROUND(W709/(1-$AA$707),0))</f>
        <v>154</v>
      </c>
      <c r="Y709" s="239">
        <f>Z709*(1-$X$591)</f>
        <v>148.4</v>
      </c>
      <c r="Z709" s="240">
        <f>ROUND(X709/(1-$X$590),0)</f>
        <v>280</v>
      </c>
      <c r="AA709" s="241">
        <f>((X709-W709)/X709)*100%</f>
        <v>0.45026363636363642</v>
      </c>
      <c r="AB709" s="241">
        <f>((Y709-W709)/Y709)*100%</f>
        <v>0.42951886792452837</v>
      </c>
      <c r="AC709" s="1198">
        <f>((N709/Y709)-1)*100%</f>
        <v>1.2877358490566038</v>
      </c>
      <c r="AD709" s="1004">
        <f>((N709*0.96-W709)/(N709*0.96))*100%</f>
        <v>0.74024484536082469</v>
      </c>
      <c r="AE709" s="238">
        <f>N709/$R$33</f>
        <v>7.2183360619139751</v>
      </c>
      <c r="AF709" s="239">
        <f>(V709/(1-$AA$707))</f>
        <v>3.272727272727272</v>
      </c>
      <c r="AG709" s="1868">
        <f>AF709/(1-$X$590)</f>
        <v>5.9504132231404938</v>
      </c>
      <c r="AH709" s="244">
        <f>((AF709-V709)/AF709)*100%</f>
        <v>0.44999999999999996</v>
      </c>
      <c r="AO709" s="13"/>
      <c r="AP709" s="13"/>
    </row>
    <row r="710" spans="1:42">
      <c r="A710" s="187"/>
      <c r="B710" s="797"/>
      <c r="C710" s="1418"/>
      <c r="D710" s="796"/>
      <c r="E710" s="796"/>
      <c r="F710" s="414"/>
      <c r="G710" s="17"/>
      <c r="H710" s="784"/>
      <c r="I710" s="1058"/>
      <c r="J710" s="897"/>
      <c r="K710" s="533"/>
      <c r="T710" s="392"/>
      <c r="U710" s="1417"/>
      <c r="V710" s="1417"/>
      <c r="W710" s="1417"/>
      <c r="X710" s="1417"/>
      <c r="Y710" s="1417"/>
      <c r="Z710" s="1417"/>
      <c r="AA710" s="392"/>
      <c r="AB710" s="392"/>
      <c r="AC710" s="392"/>
      <c r="AD710" s="392"/>
      <c r="AE710" s="1417"/>
      <c r="AF710" s="1417"/>
      <c r="AG710" s="1897"/>
      <c r="AH710" s="392"/>
      <c r="AO710" s="13"/>
      <c r="AP710" s="13"/>
    </row>
    <row r="711" spans="1:42" ht="19.5" thickBot="1">
      <c r="A711" s="149" t="s">
        <v>930</v>
      </c>
      <c r="B711" s="2368" t="s">
        <v>933</v>
      </c>
      <c r="C711" s="2368"/>
      <c r="D711" s="2368"/>
      <c r="E711" s="2368"/>
      <c r="F711" s="2368"/>
      <c r="G711" s="2369"/>
      <c r="H711" s="1058"/>
      <c r="I711" s="785"/>
      <c r="J711" s="897"/>
      <c r="K711" s="533"/>
      <c r="L711" s="1419"/>
      <c r="M711" s="1420" t="s">
        <v>1321</v>
      </c>
      <c r="N711" s="1106"/>
      <c r="T711" s="1851"/>
      <c r="U711" s="627"/>
      <c r="V711" s="627"/>
      <c r="W711" s="627"/>
      <c r="X711" s="627"/>
      <c r="Y711" s="627"/>
      <c r="Z711" s="627"/>
      <c r="AA711" s="614">
        <v>0.34</v>
      </c>
      <c r="AB711" s="628"/>
      <c r="AC711" s="628"/>
      <c r="AD711" s="1851"/>
      <c r="AE711" s="188"/>
      <c r="AF711" s="188"/>
      <c r="AG711" s="1866"/>
      <c r="AH711" s="1851"/>
      <c r="AO711" s="13"/>
      <c r="AP711" s="13"/>
    </row>
    <row r="712" spans="1:42" ht="36.75" thickBot="1">
      <c r="A712" s="187"/>
      <c r="B712" s="799" t="s">
        <v>10</v>
      </c>
      <c r="C712" s="1421" t="s">
        <v>11</v>
      </c>
      <c r="D712" s="801" t="s">
        <v>12</v>
      </c>
      <c r="E712" s="801" t="s">
        <v>13</v>
      </c>
      <c r="F712" s="802" t="s">
        <v>14</v>
      </c>
      <c r="G712" s="392"/>
      <c r="H712" s="347" t="s">
        <v>1090</v>
      </c>
      <c r="I712" s="347">
        <f>$C$17</f>
        <v>0.45</v>
      </c>
      <c r="J712" s="897"/>
      <c r="K712" s="548" t="s">
        <v>15</v>
      </c>
      <c r="L712" s="423" t="s">
        <v>12</v>
      </c>
      <c r="M712" s="196" t="s">
        <v>1091</v>
      </c>
      <c r="N712" s="549" t="s">
        <v>993</v>
      </c>
      <c r="O712" s="424" t="s">
        <v>1092</v>
      </c>
      <c r="P712" s="602" t="s">
        <v>1092</v>
      </c>
      <c r="Q712" s="200" t="s">
        <v>1093</v>
      </c>
      <c r="R712" s="201" t="s">
        <v>1094</v>
      </c>
      <c r="S712" s="350" t="s">
        <v>1095</v>
      </c>
      <c r="T712" s="1376" t="s">
        <v>1095</v>
      </c>
      <c r="U712" s="204" t="s">
        <v>1096</v>
      </c>
      <c r="V712" s="205" t="s">
        <v>1093</v>
      </c>
      <c r="W712" s="206" t="s">
        <v>1094</v>
      </c>
      <c r="X712" s="207" t="s">
        <v>1097</v>
      </c>
      <c r="Y712" s="208">
        <f>$X$591</f>
        <v>0.47</v>
      </c>
      <c r="Z712" s="207" t="s">
        <v>1098</v>
      </c>
      <c r="AA712" s="209" t="s">
        <v>1099</v>
      </c>
      <c r="AB712" s="209" t="s">
        <v>1100</v>
      </c>
      <c r="AC712" s="210" t="s">
        <v>1092</v>
      </c>
      <c r="AD712" s="211" t="s">
        <v>1101</v>
      </c>
      <c r="AE712" s="209" t="s">
        <v>1102</v>
      </c>
      <c r="AF712" s="208" t="s">
        <v>1103</v>
      </c>
      <c r="AG712" s="1867" t="s">
        <v>1104</v>
      </c>
      <c r="AH712" s="213" t="s">
        <v>1116</v>
      </c>
      <c r="AO712" s="13"/>
      <c r="AP712" s="13"/>
    </row>
    <row r="713" spans="1:42" ht="16.5" thickBot="1">
      <c r="A713" s="187"/>
      <c r="B713" s="1067" t="s">
        <v>932</v>
      </c>
      <c r="C713" s="1428" t="s">
        <v>190</v>
      </c>
      <c r="D713" s="1069">
        <v>135</v>
      </c>
      <c r="E713" s="1069">
        <v>1</v>
      </c>
      <c r="F713" s="755">
        <v>30</v>
      </c>
      <c r="G713" s="17"/>
      <c r="H713" s="357">
        <v>257</v>
      </c>
      <c r="I713" s="357">
        <f>H713-H713*$I$698</f>
        <v>141.35</v>
      </c>
      <c r="J713" s="897"/>
      <c r="K713" s="807">
        <v>440</v>
      </c>
      <c r="L713" s="808">
        <v>35</v>
      </c>
      <c r="M713" s="878">
        <f>L713/D713*100%</f>
        <v>0.25925925925925924</v>
      </c>
      <c r="N713" s="235">
        <f>K713-(K713*$O$33)</f>
        <v>220</v>
      </c>
      <c r="O713" s="880"/>
      <c r="P713" s="472">
        <f>((N713/I713)-1)*100%</f>
        <v>0.55642023346303504</v>
      </c>
      <c r="Q713" s="326">
        <v>3.9588123167155431</v>
      </c>
      <c r="R713" s="258">
        <f>Q713*$R$33</f>
        <v>186.19481969208215</v>
      </c>
      <c r="S713" s="1314"/>
      <c r="T713" s="696">
        <f>((I713-R713)/I713)*100%</f>
        <v>-0.31726083970344643</v>
      </c>
      <c r="U713" s="238">
        <v>2.0529999999999999</v>
      </c>
      <c r="V713" s="239">
        <f>U713*$X$31</f>
        <v>2.4636</v>
      </c>
      <c r="W713" s="239">
        <f>V713*$R$33</f>
        <v>115.87049880000001</v>
      </c>
      <c r="X713" s="240">
        <f>(ROUND(W713/(1-$AA$711),0))</f>
        <v>176</v>
      </c>
      <c r="Y713" s="239">
        <f>Z713*(1-$X$591)</f>
        <v>169.60000000000002</v>
      </c>
      <c r="Z713" s="240">
        <f>ROUND(X713/(1-$X$590),0)</f>
        <v>320</v>
      </c>
      <c r="AA713" s="241">
        <f>((X713-W713)/X713)*100%</f>
        <v>0.34164489318181812</v>
      </c>
      <c r="AB713" s="241">
        <f>((Y713-W713)/Y713)*100%</f>
        <v>0.31680130424528308</v>
      </c>
      <c r="AC713" s="1198">
        <f>((N713/Y713)-1)*100%</f>
        <v>0.2971698113207546</v>
      </c>
      <c r="AD713" s="1004">
        <f>((N713*0.96-W713)/(N713*0.96))*100%</f>
        <v>0.45137074431818175</v>
      </c>
      <c r="AE713" s="238">
        <f>N713/$R$33</f>
        <v>4.6775668147896159</v>
      </c>
      <c r="AF713" s="239">
        <f>(V713/(1-$AA$711))</f>
        <v>3.7327272727272733</v>
      </c>
      <c r="AG713" s="1868">
        <v>6.79</v>
      </c>
      <c r="AH713" s="244">
        <f>((AF713-V713)/AF713)*100%</f>
        <v>0.34000000000000008</v>
      </c>
      <c r="AO713" s="13"/>
      <c r="AP713" s="13"/>
    </row>
    <row r="714" spans="1:42">
      <c r="A714" s="187"/>
      <c r="B714" s="797"/>
      <c r="C714" s="1418"/>
      <c r="D714" s="796"/>
      <c r="E714" s="796"/>
      <c r="F714" s="414"/>
      <c r="G714" s="784"/>
      <c r="H714" s="1058"/>
      <c r="I714" s="785"/>
      <c r="J714" s="897"/>
      <c r="K714" s="533"/>
      <c r="T714" s="392"/>
      <c r="U714" s="1417"/>
      <c r="V714" s="1417"/>
      <c r="W714" s="1417"/>
      <c r="X714" s="1417"/>
      <c r="Y714" s="1417"/>
      <c r="Z714" s="1417"/>
      <c r="AA714" s="392"/>
      <c r="AB714" s="392"/>
      <c r="AC714" s="392"/>
      <c r="AD714" s="392"/>
      <c r="AE714" s="1417"/>
      <c r="AF714" s="1417"/>
      <c r="AG714" s="1897"/>
      <c r="AH714" s="392"/>
      <c r="AO714" s="13"/>
      <c r="AP714" s="13"/>
    </row>
    <row r="715" spans="1:42">
      <c r="A715" s="187"/>
      <c r="B715" s="797"/>
      <c r="C715" s="1418"/>
      <c r="D715" s="796"/>
      <c r="E715" s="796"/>
      <c r="F715" s="414"/>
      <c r="G715" s="784"/>
      <c r="H715" s="1058"/>
      <c r="I715" s="785"/>
      <c r="J715" s="897"/>
      <c r="K715" s="533"/>
      <c r="T715" s="392"/>
      <c r="U715" s="1417"/>
      <c r="V715" s="1417"/>
      <c r="W715" s="1417"/>
      <c r="X715" s="1417"/>
      <c r="Y715" s="1417"/>
      <c r="Z715" s="1417"/>
      <c r="AA715" s="392"/>
      <c r="AB715" s="392"/>
      <c r="AC715" s="392"/>
      <c r="AD715" s="392"/>
      <c r="AE715" s="1417"/>
      <c r="AF715" s="1417"/>
      <c r="AG715" s="1897"/>
      <c r="AH715" s="392"/>
      <c r="AO715" s="13"/>
      <c r="AP715" s="13"/>
    </row>
    <row r="716" spans="1:42" ht="16.5" thickBot="1">
      <c r="A716" s="149" t="s">
        <v>934</v>
      </c>
      <c r="B716" s="1429"/>
      <c r="C716" s="2368" t="s">
        <v>935</v>
      </c>
      <c r="D716" s="2368"/>
      <c r="E716" s="2368"/>
      <c r="F716" s="2368"/>
      <c r="G716" s="2369"/>
      <c r="H716" s="1058"/>
      <c r="I716" s="785"/>
      <c r="J716" s="897"/>
      <c r="K716" s="533"/>
      <c r="L716" s="971"/>
      <c r="M716" s="1430" t="s">
        <v>1322</v>
      </c>
      <c r="N716" s="1431"/>
      <c r="T716" s="1851"/>
      <c r="U716" s="627"/>
      <c r="V716" s="627"/>
      <c r="W716" s="627"/>
      <c r="X716" s="627"/>
      <c r="Y716" s="627"/>
      <c r="Z716" s="627"/>
      <c r="AA716" s="614">
        <v>0.35</v>
      </c>
      <c r="AB716" s="628"/>
      <c r="AC716" s="628"/>
      <c r="AD716" s="1851"/>
      <c r="AE716" s="188"/>
      <c r="AF716" s="188"/>
      <c r="AG716" s="1866"/>
      <c r="AH716" s="1851"/>
      <c r="AO716" s="13"/>
      <c r="AP716" s="13"/>
    </row>
    <row r="717" spans="1:42" ht="36.75" thickBot="1">
      <c r="B717" s="629" t="s">
        <v>10</v>
      </c>
      <c r="C717" s="1432" t="s">
        <v>11</v>
      </c>
      <c r="D717" s="631" t="s">
        <v>12</v>
      </c>
      <c r="E717" s="631" t="s">
        <v>13</v>
      </c>
      <c r="F717" s="1433" t="s">
        <v>14</v>
      </c>
      <c r="G717" s="392"/>
      <c r="H717" s="347" t="s">
        <v>1090</v>
      </c>
      <c r="I717" s="347">
        <f>$C$17</f>
        <v>0.45</v>
      </c>
      <c r="J717" s="897"/>
      <c r="K717" s="548" t="s">
        <v>15</v>
      </c>
      <c r="L717" s="423" t="s">
        <v>12</v>
      </c>
      <c r="M717" s="196" t="s">
        <v>1091</v>
      </c>
      <c r="N717" s="549" t="s">
        <v>993</v>
      </c>
      <c r="O717" s="424" t="s">
        <v>1092</v>
      </c>
      <c r="P717" s="602" t="s">
        <v>1092</v>
      </c>
      <c r="Q717" s="200" t="s">
        <v>1093</v>
      </c>
      <c r="R717" s="201" t="s">
        <v>1094</v>
      </c>
      <c r="S717" s="350" t="s">
        <v>1095</v>
      </c>
      <c r="T717" s="1376" t="s">
        <v>1095</v>
      </c>
      <c r="U717" s="204" t="s">
        <v>1096</v>
      </c>
      <c r="V717" s="205" t="s">
        <v>1093</v>
      </c>
      <c r="W717" s="206" t="s">
        <v>1094</v>
      </c>
      <c r="X717" s="207" t="s">
        <v>1097</v>
      </c>
      <c r="Y717" s="208">
        <f>$X$591</f>
        <v>0.47</v>
      </c>
      <c r="Z717" s="207" t="s">
        <v>1098</v>
      </c>
      <c r="AA717" s="209" t="s">
        <v>1099</v>
      </c>
      <c r="AB717" s="209" t="s">
        <v>1100</v>
      </c>
      <c r="AC717" s="210" t="s">
        <v>1092</v>
      </c>
      <c r="AD717" s="211" t="s">
        <v>1101</v>
      </c>
      <c r="AE717" s="209" t="s">
        <v>1102</v>
      </c>
      <c r="AF717" s="208" t="s">
        <v>1103</v>
      </c>
      <c r="AG717" s="1867" t="s">
        <v>1104</v>
      </c>
      <c r="AH717" s="213" t="s">
        <v>1116</v>
      </c>
      <c r="AO717" s="13"/>
      <c r="AP717" s="13"/>
    </row>
    <row r="718" spans="1:42" ht="15.75">
      <c r="A718" s="187"/>
      <c r="B718" s="1434" t="s">
        <v>936</v>
      </c>
      <c r="C718" s="1100" t="s">
        <v>192</v>
      </c>
      <c r="D718" s="1100">
        <v>460</v>
      </c>
      <c r="E718" s="1100">
        <v>1</v>
      </c>
      <c r="F718" s="224">
        <v>30</v>
      </c>
      <c r="G718" s="17"/>
      <c r="H718" s="357">
        <v>193</v>
      </c>
      <c r="I718" s="357">
        <f>H718-H718*$I$698</f>
        <v>106.14999999999999</v>
      </c>
      <c r="J718" s="897"/>
      <c r="K718" s="807"/>
      <c r="L718" s="808"/>
      <c r="M718" s="878"/>
      <c r="N718" s="235"/>
      <c r="O718" s="880"/>
      <c r="P718" s="472"/>
      <c r="Q718" s="326">
        <v>1.8239999999999998</v>
      </c>
      <c r="R718" s="258">
        <f>Q718*$R$33</f>
        <v>85.788191999999995</v>
      </c>
      <c r="S718" s="1314"/>
      <c r="T718" s="1128">
        <f>((I718-R718)/I718)*100%</f>
        <v>0.19182108337258594</v>
      </c>
      <c r="U718" s="238">
        <v>1.52</v>
      </c>
      <c r="V718" s="239">
        <f>U718*$X$31</f>
        <v>1.8239999999999998</v>
      </c>
      <c r="W718" s="239">
        <f>V718*$R$33</f>
        <v>85.788191999999995</v>
      </c>
      <c r="X718" s="240">
        <f>(ROUND(W718/(1-$AA$716),0))</f>
        <v>132</v>
      </c>
      <c r="Y718" s="239">
        <f>Z718*(1-$X$591)</f>
        <v>127.2</v>
      </c>
      <c r="Z718" s="240">
        <f>ROUND(X718/(1-$X$590),0)</f>
        <v>240</v>
      </c>
      <c r="AA718" s="241">
        <f>((X718-W718)/X718)*100%</f>
        <v>0.35008945454545459</v>
      </c>
      <c r="AB718" s="241">
        <f>((Y718-W718)/Y718)*100%</f>
        <v>0.32556452830188687</v>
      </c>
      <c r="AC718" s="265"/>
      <c r="AD718" s="1004"/>
      <c r="AE718" s="238">
        <f>N718/$R$33</f>
        <v>0</v>
      </c>
      <c r="AF718" s="239">
        <f>(V718/(1-$AA$716))</f>
        <v>2.8061538461538458</v>
      </c>
      <c r="AG718" s="1868">
        <v>5.0999999999999996</v>
      </c>
      <c r="AH718" s="244">
        <f>((AF718-V718)/AF718)*100%</f>
        <v>0.35</v>
      </c>
      <c r="AO718" s="13"/>
      <c r="AP718" s="13"/>
    </row>
    <row r="719" spans="1:42" ht="15.75">
      <c r="A719" s="271"/>
      <c r="B719" s="1435" t="s">
        <v>937</v>
      </c>
      <c r="C719" s="804" t="s">
        <v>194</v>
      </c>
      <c r="D719" s="961">
        <v>540</v>
      </c>
      <c r="E719" s="961">
        <v>1</v>
      </c>
      <c r="F719" s="377">
        <v>30</v>
      </c>
      <c r="G719" s="17"/>
      <c r="H719" s="357">
        <v>193</v>
      </c>
      <c r="I719" s="357">
        <f>H719-H719*$I$698</f>
        <v>106.14999999999999</v>
      </c>
      <c r="J719" s="897"/>
      <c r="K719" s="321">
        <v>348</v>
      </c>
      <c r="L719" s="322">
        <v>543</v>
      </c>
      <c r="M719" s="335">
        <f>L719/D719*100%</f>
        <v>1.0055555555555555</v>
      </c>
      <c r="N719" s="382">
        <f>K719-(K719*$O$33)</f>
        <v>174</v>
      </c>
      <c r="O719" s="386"/>
      <c r="P719" s="472">
        <f>((N719/I719)-1)*100%</f>
        <v>0.63918982571832328</v>
      </c>
      <c r="Q719" s="331">
        <v>1.8239999999999998</v>
      </c>
      <c r="R719" s="382">
        <f>Q719*$R$33</f>
        <v>85.788191999999995</v>
      </c>
      <c r="S719" s="918"/>
      <c r="T719" s="696">
        <f>((I719-R719)/I719)*100%</f>
        <v>0.19182108337258594</v>
      </c>
      <c r="U719" s="238">
        <v>1.52</v>
      </c>
      <c r="V719" s="239">
        <f>U719*$X$31</f>
        <v>1.8239999999999998</v>
      </c>
      <c r="W719" s="239">
        <f>V719*$R$33</f>
        <v>85.788191999999995</v>
      </c>
      <c r="X719" s="240">
        <f>(ROUND(W719/(1-$AA$716),0))</f>
        <v>132</v>
      </c>
      <c r="Y719" s="239">
        <f>Z719*(1-$X$591)</f>
        <v>127.2</v>
      </c>
      <c r="Z719" s="240">
        <f>ROUND(X719/(1-$X$590),0)</f>
        <v>240</v>
      </c>
      <c r="AA719" s="241">
        <f>((X719-W719)/X719)*100%</f>
        <v>0.35008945454545459</v>
      </c>
      <c r="AB719" s="241">
        <f>((Y719-W719)/Y719)*100%</f>
        <v>0.32556452830188687</v>
      </c>
      <c r="AC719" s="1198">
        <f>((N719/Y719)-1)*100%</f>
        <v>0.36792452830188682</v>
      </c>
      <c r="AD719" s="1004">
        <f>((N719*0.96-W719)/(N719*0.96))*100%</f>
        <v>0.48642126436781608</v>
      </c>
      <c r="AE719" s="238">
        <f>N719/$R$33</f>
        <v>3.6995301171517871</v>
      </c>
      <c r="AF719" s="239">
        <f>(V719/(1-$AA$716))</f>
        <v>2.8061538461538458</v>
      </c>
      <c r="AG719" s="1868">
        <v>5.0999999999999996</v>
      </c>
      <c r="AH719" s="244">
        <f>((AF719-V719)/AF719)*100%</f>
        <v>0.35</v>
      </c>
      <c r="AO719" s="13"/>
      <c r="AP719" s="13"/>
    </row>
    <row r="720" spans="1:42" ht="16.5" thickBot="1">
      <c r="A720" s="187"/>
      <c r="B720" s="1436" t="s">
        <v>938</v>
      </c>
      <c r="C720" s="790" t="s">
        <v>939</v>
      </c>
      <c r="D720" s="1437">
        <v>600</v>
      </c>
      <c r="E720" s="1437">
        <v>1</v>
      </c>
      <c r="F720" s="1438">
        <v>30</v>
      </c>
      <c r="G720" s="17"/>
      <c r="H720" s="357">
        <v>193</v>
      </c>
      <c r="I720" s="357">
        <f>H720-H720*$I$698</f>
        <v>106.14999999999999</v>
      </c>
      <c r="J720" s="897"/>
      <c r="K720" s="321"/>
      <c r="L720" s="322"/>
      <c r="M720" s="860"/>
      <c r="N720" s="382"/>
      <c r="O720" s="386"/>
      <c r="P720" s="472"/>
      <c r="Q720" s="336">
        <v>1.8239999999999998</v>
      </c>
      <c r="R720" s="382">
        <f>Q720*$R$33</f>
        <v>85.788191999999995</v>
      </c>
      <c r="S720" s="918"/>
      <c r="T720" s="696">
        <f>((I720-R720)/I720)*100%</f>
        <v>0.19182108337258594</v>
      </c>
      <c r="U720" s="238">
        <v>1.52</v>
      </c>
      <c r="V720" s="239">
        <f>U720*$X$31</f>
        <v>1.8239999999999998</v>
      </c>
      <c r="W720" s="239">
        <f>V720*$R$33</f>
        <v>85.788191999999995</v>
      </c>
      <c r="X720" s="240">
        <f>(ROUND(W720/(1-$AA$716),0))</f>
        <v>132</v>
      </c>
      <c r="Y720" s="239">
        <f>Z720*(1-$X$591)</f>
        <v>127.2</v>
      </c>
      <c r="Z720" s="240">
        <f>ROUND(X720/(1-$X$590),0)</f>
        <v>240</v>
      </c>
      <c r="AA720" s="241">
        <f>((X720-W720)/X720)*100%</f>
        <v>0.35008945454545459</v>
      </c>
      <c r="AB720" s="241">
        <f>((Y720-W720)/Y720)*100%</f>
        <v>0.32556452830188687</v>
      </c>
      <c r="AC720" s="265"/>
      <c r="AD720" s="1004"/>
      <c r="AE720" s="238">
        <f>N720/$R$33</f>
        <v>0</v>
      </c>
      <c r="AF720" s="239">
        <f>(V720/(1-$AA$716))</f>
        <v>2.8061538461538458</v>
      </c>
      <c r="AG720" s="1868">
        <v>5.0999999999999996</v>
      </c>
      <c r="AH720" s="244">
        <f>((AF720-V720)/AF720)*100%</f>
        <v>0.35</v>
      </c>
      <c r="AO720" s="13"/>
      <c r="AP720" s="13"/>
    </row>
    <row r="721" spans="1:42">
      <c r="A721" s="187"/>
      <c r="B721" s="797"/>
      <c r="C721" s="1418"/>
      <c r="D721" s="796"/>
      <c r="E721" s="796"/>
      <c r="F721" s="414"/>
      <c r="G721" s="784"/>
      <c r="H721" s="1058"/>
      <c r="I721" s="785"/>
      <c r="J721" s="897"/>
      <c r="K721" s="533"/>
      <c r="T721" s="392"/>
      <c r="U721" s="1417"/>
      <c r="V721" s="1417"/>
      <c r="W721" s="1417"/>
      <c r="X721" s="1417"/>
      <c r="Y721" s="1417"/>
      <c r="Z721" s="1417"/>
      <c r="AA721" s="392"/>
      <c r="AB721" s="392"/>
      <c r="AC721" s="392"/>
      <c r="AD721" s="392"/>
      <c r="AE721" s="1417"/>
      <c r="AF721" s="1417"/>
      <c r="AG721" s="1897"/>
      <c r="AH721" s="392"/>
      <c r="AO721" s="13"/>
      <c r="AP721" s="13"/>
    </row>
    <row r="722" spans="1:42" ht="19.5" thickBot="1">
      <c r="A722" s="149" t="s">
        <v>940</v>
      </c>
      <c r="B722" s="1429"/>
      <c r="C722" s="2368" t="s">
        <v>941</v>
      </c>
      <c r="D722" s="2368"/>
      <c r="E722" s="2368"/>
      <c r="F722" s="2368"/>
      <c r="G722" s="2369"/>
      <c r="H722" s="1058"/>
      <c r="I722" s="785"/>
      <c r="J722" s="897"/>
      <c r="K722" s="533"/>
      <c r="L722" s="1419"/>
      <c r="M722" s="1420" t="s">
        <v>1323</v>
      </c>
      <c r="N722" s="1106"/>
      <c r="T722" s="1851"/>
      <c r="U722" s="627"/>
      <c r="V722" s="627"/>
      <c r="W722" s="627"/>
      <c r="X722" s="627"/>
      <c r="Y722" s="627"/>
      <c r="Z722" s="627"/>
      <c r="AA722" s="614">
        <v>0.35</v>
      </c>
      <c r="AB722" s="628">
        <v>0.38</v>
      </c>
      <c r="AC722" s="628"/>
      <c r="AD722" s="1851"/>
      <c r="AE722" s="188"/>
      <c r="AF722" s="188"/>
      <c r="AG722" s="1866"/>
      <c r="AH722" s="1851"/>
      <c r="AO722" s="13"/>
      <c r="AP722" s="13"/>
    </row>
    <row r="723" spans="1:42" ht="36.75" thickBot="1">
      <c r="B723" s="629" t="s">
        <v>10</v>
      </c>
      <c r="C723" s="1432" t="s">
        <v>11</v>
      </c>
      <c r="D723" s="631" t="s">
        <v>12</v>
      </c>
      <c r="E723" s="631" t="s">
        <v>13</v>
      </c>
      <c r="F723" s="1433" t="s">
        <v>14</v>
      </c>
      <c r="G723" s="392"/>
      <c r="H723" s="347" t="s">
        <v>1090</v>
      </c>
      <c r="I723" s="347">
        <f>$C$17</f>
        <v>0.45</v>
      </c>
      <c r="J723" s="897"/>
      <c r="K723" s="548" t="s">
        <v>15</v>
      </c>
      <c r="L723" s="423" t="s">
        <v>12</v>
      </c>
      <c r="M723" s="196" t="s">
        <v>1091</v>
      </c>
      <c r="N723" s="549" t="s">
        <v>993</v>
      </c>
      <c r="O723" s="424" t="s">
        <v>1092</v>
      </c>
      <c r="P723" s="602" t="s">
        <v>1092</v>
      </c>
      <c r="Q723" s="200" t="s">
        <v>1093</v>
      </c>
      <c r="R723" s="201" t="s">
        <v>1094</v>
      </c>
      <c r="S723" s="350" t="s">
        <v>1095</v>
      </c>
      <c r="T723" s="1376" t="s">
        <v>1095</v>
      </c>
      <c r="U723" s="204" t="s">
        <v>1096</v>
      </c>
      <c r="V723" s="205" t="s">
        <v>1093</v>
      </c>
      <c r="W723" s="206" t="s">
        <v>1094</v>
      </c>
      <c r="X723" s="207" t="s">
        <v>1097</v>
      </c>
      <c r="Y723" s="208">
        <f>$X$591</f>
        <v>0.47</v>
      </c>
      <c r="Z723" s="207" t="s">
        <v>1098</v>
      </c>
      <c r="AA723" s="209" t="s">
        <v>1099</v>
      </c>
      <c r="AB723" s="209" t="s">
        <v>1100</v>
      </c>
      <c r="AC723" s="210" t="s">
        <v>1092</v>
      </c>
      <c r="AD723" s="211" t="s">
        <v>1101</v>
      </c>
      <c r="AE723" s="209" t="s">
        <v>1102</v>
      </c>
      <c r="AF723" s="208" t="s">
        <v>1103</v>
      </c>
      <c r="AG723" s="1867" t="s">
        <v>1104</v>
      </c>
      <c r="AH723" s="213" t="s">
        <v>1116</v>
      </c>
      <c r="AO723" s="13"/>
      <c r="AP723" s="13"/>
    </row>
    <row r="724" spans="1:42" ht="15.75">
      <c r="A724" s="187"/>
      <c r="B724" s="1434" t="s">
        <v>942</v>
      </c>
      <c r="C724" s="1100" t="s">
        <v>192</v>
      </c>
      <c r="D724" s="1100">
        <v>330</v>
      </c>
      <c r="E724" s="1100">
        <v>1</v>
      </c>
      <c r="F724" s="224">
        <v>30</v>
      </c>
      <c r="G724" s="17"/>
      <c r="H724" s="357">
        <v>180</v>
      </c>
      <c r="I724" s="357">
        <f>H724-H724*$I$698</f>
        <v>99</v>
      </c>
      <c r="J724" s="897"/>
      <c r="K724" s="807">
        <v>364</v>
      </c>
      <c r="L724" s="808">
        <v>197</v>
      </c>
      <c r="M724" s="878">
        <f>L724/D724*100%</f>
        <v>0.59696969696969693</v>
      </c>
      <c r="N724" s="235">
        <f>K724-(K724*$O$33)</f>
        <v>182</v>
      </c>
      <c r="O724" s="880"/>
      <c r="P724" s="472">
        <f>((N724/I724)-1)*100%</f>
        <v>0.83838383838383845</v>
      </c>
      <c r="Q724" s="326">
        <v>1.7844</v>
      </c>
      <c r="R724" s="258">
        <f>Q724*$R$33</f>
        <v>83.925685200000004</v>
      </c>
      <c r="S724" s="1314"/>
      <c r="T724" s="1128">
        <f>((I724-R724)/I724)*100%</f>
        <v>0.15226580606060602</v>
      </c>
      <c r="U724" s="238">
        <v>1.4870000000000001</v>
      </c>
      <c r="V724" s="239">
        <f>U724*$X$31</f>
        <v>1.7844</v>
      </c>
      <c r="W724" s="239">
        <f>V724*$R$33</f>
        <v>83.925685200000004</v>
      </c>
      <c r="X724" s="240">
        <f>(ROUND(W724/(1-$AA$722),0))</f>
        <v>129</v>
      </c>
      <c r="Y724" s="239">
        <f>Z724*(1-$X$591)</f>
        <v>124.55000000000001</v>
      </c>
      <c r="Z724" s="240">
        <f>ROUND(X724/(1-$X$590),0)</f>
        <v>235</v>
      </c>
      <c r="AA724" s="241">
        <f>((X724-W724)/X724)*100%</f>
        <v>0.3494132930232558</v>
      </c>
      <c r="AB724" s="241">
        <f>((Y724-W724)/Y724)*100%</f>
        <v>0.32616872581292655</v>
      </c>
      <c r="AC724" s="1198">
        <f>((N724/Y724)-1)*100%</f>
        <v>0.46126053793657151</v>
      </c>
      <c r="AD724" s="1004">
        <f>((N724*0.96-W724)/(N724*0.96))*100%</f>
        <v>0.51965610576923071</v>
      </c>
      <c r="AE724" s="238">
        <f>N724/$R$33</f>
        <v>3.8696234558714093</v>
      </c>
      <c r="AF724" s="239">
        <f>(V724/(1-$AA$722))</f>
        <v>2.7452307692307691</v>
      </c>
      <c r="AG724" s="1868">
        <v>5</v>
      </c>
      <c r="AH724" s="244">
        <f>((AF724-V724)/AF724)*100%</f>
        <v>0.35</v>
      </c>
      <c r="AO724" s="13"/>
      <c r="AP724" s="13"/>
    </row>
    <row r="725" spans="1:42" ht="15.75">
      <c r="A725" s="271"/>
      <c r="B725" s="1435" t="s">
        <v>943</v>
      </c>
      <c r="C725" s="804" t="s">
        <v>194</v>
      </c>
      <c r="D725" s="961">
        <v>360</v>
      </c>
      <c r="E725" s="961">
        <v>1</v>
      </c>
      <c r="F725" s="377">
        <v>30</v>
      </c>
      <c r="G725" s="17"/>
      <c r="H725" s="357">
        <v>180</v>
      </c>
      <c r="I725" s="357">
        <f>H725-H725*$I$698</f>
        <v>99</v>
      </c>
      <c r="J725" s="897"/>
      <c r="K725" s="321">
        <v>393</v>
      </c>
      <c r="L725" s="322">
        <v>201</v>
      </c>
      <c r="M725" s="335">
        <f>L725/D725*100%</f>
        <v>0.55833333333333335</v>
      </c>
      <c r="N725" s="382">
        <f>K725-(K725*$O$33)</f>
        <v>196.5</v>
      </c>
      <c r="O725" s="386"/>
      <c r="P725" s="472">
        <f>((N725/I725)-1)*100%</f>
        <v>0.98484848484848486</v>
      </c>
      <c r="Q725" s="331">
        <v>1.7844</v>
      </c>
      <c r="R725" s="382">
        <f>Q725*$R$33</f>
        <v>83.925685200000004</v>
      </c>
      <c r="S725" s="918"/>
      <c r="T725" s="696">
        <f>((I725-R725)/I725)*100%</f>
        <v>0.15226580606060602</v>
      </c>
      <c r="U725" s="261">
        <v>1.4870000000000001</v>
      </c>
      <c r="V725" s="239">
        <f>U725*$X$31</f>
        <v>1.7844</v>
      </c>
      <c r="W725" s="239">
        <f>V725*$R$33</f>
        <v>83.925685200000004</v>
      </c>
      <c r="X725" s="240">
        <f>(ROUND(W725/(1-$AB$722),0))</f>
        <v>135</v>
      </c>
      <c r="Y725" s="239">
        <f>Z725*(1-$X$591)</f>
        <v>129.85</v>
      </c>
      <c r="Z725" s="240">
        <f>ROUND(X725/(1-$X$590),0)</f>
        <v>245</v>
      </c>
      <c r="AA725" s="241">
        <f>((X725-W725)/X725)*100%</f>
        <v>0.37832825777777773</v>
      </c>
      <c r="AB725" s="241">
        <f>((Y725-W725)/Y725)*100%</f>
        <v>0.3536720431266846</v>
      </c>
      <c r="AC725" s="1198">
        <f>((N725/Y725)-1)*100%</f>
        <v>0.51328455910666171</v>
      </c>
      <c r="AD725" s="1004">
        <f>((N725*0.96-W725)/(N725*0.96))*100%</f>
        <v>0.55510132951653934</v>
      </c>
      <c r="AE725" s="238">
        <f>N725/$R$33</f>
        <v>4.1779176323007245</v>
      </c>
      <c r="AF725" s="239">
        <f>(V725/(1-$AB$722))</f>
        <v>2.8780645161290321</v>
      </c>
      <c r="AG725" s="1868">
        <v>5.23</v>
      </c>
      <c r="AH725" s="244">
        <f>((AF725-V725)/AF725)*100%</f>
        <v>0.38</v>
      </c>
      <c r="AO725" s="13"/>
      <c r="AP725" s="13"/>
    </row>
    <row r="726" spans="1:42">
      <c r="A726" s="187"/>
      <c r="B726" s="797"/>
      <c r="C726" s="1418"/>
      <c r="D726" s="796"/>
      <c r="E726" s="796"/>
      <c r="F726" s="414"/>
      <c r="G726" s="784"/>
      <c r="H726" s="1058"/>
      <c r="I726" s="785"/>
      <c r="J726" s="897"/>
      <c r="K726" s="533"/>
      <c r="T726" s="392"/>
      <c r="U726" s="1417"/>
      <c r="V726" s="1417"/>
      <c r="W726" s="1417"/>
      <c r="X726" s="1417"/>
      <c r="Y726" s="1417"/>
      <c r="Z726" s="1417"/>
      <c r="AA726" s="392"/>
      <c r="AB726" s="392"/>
      <c r="AC726" s="392"/>
      <c r="AD726" s="1249">
        <f>AVERAGE(AD724:AD725)</f>
        <v>0.53737871764288503</v>
      </c>
      <c r="AE726" s="1417"/>
      <c r="AF726" s="1417"/>
      <c r="AG726" s="1897"/>
      <c r="AH726" s="392"/>
      <c r="AO726" s="13"/>
      <c r="AP726" s="13"/>
    </row>
    <row r="727" spans="1:42" ht="16.5" thickBot="1">
      <c r="A727" s="149" t="s">
        <v>946</v>
      </c>
      <c r="B727" s="2368" t="s">
        <v>944</v>
      </c>
      <c r="C727" s="2368"/>
      <c r="D727" s="2368"/>
      <c r="E727" s="2368"/>
      <c r="F727" s="2368"/>
      <c r="G727" s="2369"/>
      <c r="H727" s="1058"/>
      <c r="I727" s="785"/>
      <c r="J727" s="897"/>
      <c r="K727" s="2370" t="s">
        <v>1324</v>
      </c>
      <c r="L727" s="2370"/>
      <c r="M727" s="2370"/>
      <c r="N727" s="2370"/>
      <c r="O727" s="2370"/>
      <c r="T727" s="1851"/>
      <c r="U727" s="627"/>
      <c r="V727" s="627"/>
      <c r="W727" s="627"/>
      <c r="X727" s="627"/>
      <c r="Y727" s="627"/>
      <c r="Z727" s="627"/>
      <c r="AA727" s="614">
        <v>0.24</v>
      </c>
      <c r="AB727" s="628"/>
      <c r="AC727" s="628"/>
      <c r="AD727" s="1851"/>
      <c r="AE727" s="188"/>
      <c r="AF727" s="188"/>
      <c r="AG727" s="1866"/>
      <c r="AH727" s="1851"/>
      <c r="AO727" s="13"/>
      <c r="AP727" s="13"/>
    </row>
    <row r="728" spans="1:42" ht="36.75" thickBot="1">
      <c r="A728" s="187"/>
      <c r="B728" s="799" t="s">
        <v>10</v>
      </c>
      <c r="C728" s="1421" t="s">
        <v>11</v>
      </c>
      <c r="D728" s="801" t="s">
        <v>12</v>
      </c>
      <c r="E728" s="801" t="s">
        <v>13</v>
      </c>
      <c r="F728" s="802" t="s">
        <v>14</v>
      </c>
      <c r="G728" s="392"/>
      <c r="H728" s="347" t="s">
        <v>1090</v>
      </c>
      <c r="I728" s="347">
        <f>$C$17</f>
        <v>0.45</v>
      </c>
      <c r="J728" s="897"/>
      <c r="K728" s="1439" t="s">
        <v>15</v>
      </c>
      <c r="L728" s="1440" t="s">
        <v>12</v>
      </c>
      <c r="M728" s="1441" t="s">
        <v>1091</v>
      </c>
      <c r="N728" s="1442" t="s">
        <v>993</v>
      </c>
      <c r="O728" s="1443" t="s">
        <v>1092</v>
      </c>
      <c r="P728" s="602" t="s">
        <v>1325</v>
      </c>
      <c r="Q728" s="200" t="s">
        <v>1093</v>
      </c>
      <c r="R728" s="201" t="s">
        <v>1094</v>
      </c>
      <c r="S728" s="350" t="s">
        <v>1095</v>
      </c>
      <c r="T728" s="1376" t="s">
        <v>1095</v>
      </c>
      <c r="U728" s="204" t="s">
        <v>1096</v>
      </c>
      <c r="V728" s="205" t="s">
        <v>1093</v>
      </c>
      <c r="W728" s="206" t="s">
        <v>1094</v>
      </c>
      <c r="X728" s="207" t="s">
        <v>1097</v>
      </c>
      <c r="Y728" s="208">
        <f>$X$591</f>
        <v>0.47</v>
      </c>
      <c r="Z728" s="207" t="s">
        <v>1098</v>
      </c>
      <c r="AA728" s="209" t="s">
        <v>1099</v>
      </c>
      <c r="AB728" s="209" t="s">
        <v>1100</v>
      </c>
      <c r="AC728" s="210" t="s">
        <v>1325</v>
      </c>
      <c r="AD728" s="211" t="s">
        <v>1326</v>
      </c>
      <c r="AE728" s="209" t="s">
        <v>1327</v>
      </c>
      <c r="AF728" s="208" t="s">
        <v>1103</v>
      </c>
      <c r="AG728" s="1867" t="s">
        <v>1104</v>
      </c>
      <c r="AH728" s="213" t="s">
        <v>1116</v>
      </c>
      <c r="AO728" s="13"/>
      <c r="AP728" s="13"/>
    </row>
    <row r="729" spans="1:42" ht="16.5" thickBot="1">
      <c r="A729" s="187"/>
      <c r="B729" s="1067" t="s">
        <v>945</v>
      </c>
      <c r="C729" s="1428" t="s">
        <v>947</v>
      </c>
      <c r="D729" s="1069">
        <v>55</v>
      </c>
      <c r="E729" s="1069">
        <v>10</v>
      </c>
      <c r="F729" s="755">
        <v>200</v>
      </c>
      <c r="G729" s="17"/>
      <c r="H729" s="357">
        <v>70</v>
      </c>
      <c r="I729" s="357">
        <f>H729-H729*$I$698</f>
        <v>38.5</v>
      </c>
      <c r="J729" s="897"/>
      <c r="K729" s="807">
        <v>46</v>
      </c>
      <c r="L729" s="808">
        <v>55</v>
      </c>
      <c r="M729" s="878">
        <f>L729/D729*100%</f>
        <v>1</v>
      </c>
      <c r="N729" s="235">
        <v>36</v>
      </c>
      <c r="O729" s="880"/>
      <c r="P729" s="472">
        <f>((N729/I729)-1)*100%</f>
        <v>-6.4935064935064957E-2</v>
      </c>
      <c r="Q729" s="326">
        <v>0.66480000000000006</v>
      </c>
      <c r="R729" s="258">
        <f>Q729*$R$33</f>
        <v>31.267538400000003</v>
      </c>
      <c r="S729" s="1314"/>
      <c r="T729" s="1128">
        <f>((I729-R729)/I729)*100%</f>
        <v>0.18785614545454538</v>
      </c>
      <c r="U729" s="238">
        <v>0.55400000000000005</v>
      </c>
      <c r="V729" s="239">
        <f>U729*$X$31</f>
        <v>0.66480000000000006</v>
      </c>
      <c r="W729" s="239">
        <f>V729*$R$33</f>
        <v>31.267538400000003</v>
      </c>
      <c r="X729" s="240">
        <f>(ROUND(W729/(1-$AA$727),0))</f>
        <v>41</v>
      </c>
      <c r="Y729" s="239">
        <f>Z729*(1-$X$591)</f>
        <v>39.75</v>
      </c>
      <c r="Z729" s="240">
        <f>ROUND(X729/(1-$X$590),0)</f>
        <v>75</v>
      </c>
      <c r="AA729" s="241">
        <f>((X729-W729)/X729)*100%</f>
        <v>0.23737711219512189</v>
      </c>
      <c r="AB729" s="241">
        <f>((Y729-W729)/Y729)*100%</f>
        <v>0.21339526037735843</v>
      </c>
      <c r="AC729" s="265">
        <f>((N729/Y729)-1)*100%</f>
        <v>-9.4339622641509413E-2</v>
      </c>
      <c r="AD729" s="1004">
        <f>((N729*0.96-W729)/(N729*0.96))*100%</f>
        <v>9.5267986111111091E-2</v>
      </c>
      <c r="AE729" s="238">
        <f>N729/$R$33</f>
        <v>0.7654200242383008</v>
      </c>
      <c r="AF729" s="239">
        <f>(V729/(1-$AA$727))</f>
        <v>0.87473684210526326</v>
      </c>
      <c r="AG729" s="1868">
        <v>1.59</v>
      </c>
      <c r="AH729" s="244">
        <f>((AF729-V729)/AF729)*100%</f>
        <v>0.24000000000000002</v>
      </c>
      <c r="AO729" s="13"/>
      <c r="AP729" s="13"/>
    </row>
    <row r="730" spans="1:42">
      <c r="A730" s="187"/>
      <c r="B730" s="797"/>
      <c r="C730" s="1418"/>
      <c r="D730" s="796"/>
      <c r="E730" s="796"/>
      <c r="F730" s="414"/>
      <c r="G730" s="784"/>
      <c r="H730" s="1058"/>
      <c r="I730" s="785"/>
      <c r="J730" s="897"/>
      <c r="K730" s="533"/>
      <c r="T730" s="392"/>
      <c r="U730" s="1417"/>
      <c r="V730" s="1417"/>
      <c r="W730" s="1417"/>
      <c r="X730" s="1417"/>
      <c r="Y730" s="1417"/>
      <c r="Z730" s="1417"/>
      <c r="AA730" s="392"/>
      <c r="AB730" s="392"/>
      <c r="AC730" s="392"/>
      <c r="AD730" s="392"/>
      <c r="AE730" s="1417"/>
      <c r="AF730" s="1417"/>
      <c r="AG730" s="1897"/>
      <c r="AH730" s="392"/>
      <c r="AO730" s="13"/>
      <c r="AP730" s="13"/>
    </row>
    <row r="731" spans="1:42" ht="16.5" thickBot="1">
      <c r="A731" s="187"/>
      <c r="B731" s="1429"/>
      <c r="C731" s="2368" t="s">
        <v>948</v>
      </c>
      <c r="D731" s="2368"/>
      <c r="E731" s="2368"/>
      <c r="F731" s="2368"/>
      <c r="G731" s="2369"/>
      <c r="H731" s="1058"/>
      <c r="I731" s="785"/>
      <c r="J731" s="897"/>
      <c r="K731" s="533"/>
      <c r="L731" s="971"/>
      <c r="M731" s="1430" t="s">
        <v>1328</v>
      </c>
      <c r="N731" s="1431"/>
      <c r="T731" s="1851"/>
      <c r="U731" s="627"/>
      <c r="V731" s="627"/>
      <c r="W731" s="627"/>
      <c r="X731" s="627"/>
      <c r="Y731" s="627"/>
      <c r="Z731" s="627"/>
      <c r="AA731" s="614">
        <v>0.25</v>
      </c>
      <c r="AB731" s="628"/>
      <c r="AC731" s="628"/>
      <c r="AD731" s="1851"/>
      <c r="AE731" s="188"/>
      <c r="AF731" s="188"/>
      <c r="AG731" s="1866"/>
      <c r="AH731" s="1851"/>
      <c r="AO731" s="13"/>
      <c r="AP731" s="13"/>
    </row>
    <row r="732" spans="1:42" ht="36.75" thickBot="1">
      <c r="A732" s="149" t="s">
        <v>952</v>
      </c>
      <c r="B732" s="799" t="s">
        <v>10</v>
      </c>
      <c r="C732" s="1421" t="s">
        <v>11</v>
      </c>
      <c r="D732" s="801" t="s">
        <v>12</v>
      </c>
      <c r="E732" s="801" t="s">
        <v>13</v>
      </c>
      <c r="F732" s="802" t="s">
        <v>14</v>
      </c>
      <c r="G732" s="392"/>
      <c r="H732" s="347" t="s">
        <v>1090</v>
      </c>
      <c r="I732" s="347">
        <f>$C$17</f>
        <v>0.45</v>
      </c>
      <c r="J732" s="897"/>
      <c r="K732" s="548" t="s">
        <v>15</v>
      </c>
      <c r="L732" s="423" t="s">
        <v>12</v>
      </c>
      <c r="M732" s="196" t="s">
        <v>1091</v>
      </c>
      <c r="N732" s="549" t="s">
        <v>993</v>
      </c>
      <c r="O732" s="424" t="s">
        <v>1092</v>
      </c>
      <c r="P732" s="199" t="s">
        <v>1092</v>
      </c>
      <c r="Q732" s="200" t="s">
        <v>1093</v>
      </c>
      <c r="R732" s="201" t="s">
        <v>1094</v>
      </c>
      <c r="S732" s="350" t="s">
        <v>1095</v>
      </c>
      <c r="T732" s="1376" t="s">
        <v>1095</v>
      </c>
      <c r="U732" s="204" t="s">
        <v>1096</v>
      </c>
      <c r="V732" s="205" t="s">
        <v>1093</v>
      </c>
      <c r="W732" s="206" t="s">
        <v>1094</v>
      </c>
      <c r="X732" s="207" t="s">
        <v>1097</v>
      </c>
      <c r="Y732" s="208">
        <f>$X$591</f>
        <v>0.47</v>
      </c>
      <c r="Z732" s="207" t="s">
        <v>1098</v>
      </c>
      <c r="AA732" s="209" t="s">
        <v>1099</v>
      </c>
      <c r="AB732" s="209" t="s">
        <v>1100</v>
      </c>
      <c r="AC732" s="210" t="s">
        <v>1092</v>
      </c>
      <c r="AD732" s="211" t="s">
        <v>1101</v>
      </c>
      <c r="AE732" s="209" t="s">
        <v>1102</v>
      </c>
      <c r="AF732" s="208" t="s">
        <v>1103</v>
      </c>
      <c r="AG732" s="1867" t="s">
        <v>1104</v>
      </c>
      <c r="AH732" s="213" t="s">
        <v>1116</v>
      </c>
      <c r="AO732" s="13"/>
      <c r="AP732" s="13"/>
    </row>
    <row r="733" spans="1:42" ht="15.75">
      <c r="A733" s="187"/>
      <c r="B733" s="1434" t="s">
        <v>949</v>
      </c>
      <c r="C733" s="1100" t="s">
        <v>192</v>
      </c>
      <c r="D733" s="1100">
        <v>32</v>
      </c>
      <c r="E733" s="1100">
        <v>10</v>
      </c>
      <c r="F733" s="224">
        <v>200</v>
      </c>
      <c r="G733" s="17"/>
      <c r="H733" s="357">
        <v>42</v>
      </c>
      <c r="I733" s="357">
        <f>H733-H733*$I$698</f>
        <v>23.099999999999998</v>
      </c>
      <c r="J733" s="897" t="s">
        <v>1329</v>
      </c>
      <c r="K733" s="807">
        <v>32</v>
      </c>
      <c r="L733" s="808">
        <v>29</v>
      </c>
      <c r="M733" s="878">
        <f>L733/D733*100%</f>
        <v>0.90625</v>
      </c>
      <c r="N733" s="235">
        <v>23</v>
      </c>
      <c r="O733" s="880"/>
      <c r="P733" s="470">
        <f>((N733/I733)-1)*100%</f>
        <v>-4.3290043290041824E-3</v>
      </c>
      <c r="Q733" s="326">
        <v>0.38400000000000001</v>
      </c>
      <c r="R733" s="258">
        <f>Q733*$R$33</f>
        <v>18.060672</v>
      </c>
      <c r="S733" s="1314"/>
      <c r="T733" s="1128">
        <f>((I733-R733)/I733)*100%</f>
        <v>0.21815272727272719</v>
      </c>
      <c r="U733" s="238">
        <v>0.32</v>
      </c>
      <c r="V733" s="239">
        <f>U733*$X$31</f>
        <v>0.38400000000000001</v>
      </c>
      <c r="W733" s="239">
        <f>V733*$R$33</f>
        <v>18.060672</v>
      </c>
      <c r="X733" s="240">
        <f>(ROUND(W733/(1-$AA$731),0))</f>
        <v>24</v>
      </c>
      <c r="Y733" s="239">
        <f>Z733*(1-$X$591)</f>
        <v>23.32</v>
      </c>
      <c r="Z733" s="240">
        <f>ROUND(X733/(1-$X$590),0)</f>
        <v>44</v>
      </c>
      <c r="AA733" s="241">
        <f>((X733-W733)/X733)*100%</f>
        <v>0.247472</v>
      </c>
      <c r="AB733" s="241">
        <f>((Y733-W733)/Y733)*100%</f>
        <v>0.22552864493996569</v>
      </c>
      <c r="AC733" s="265">
        <f>((N733/Y733)-1)*100%</f>
        <v>-1.3722126929674117E-2</v>
      </c>
      <c r="AD733" s="1004">
        <f>((N733*0.96-W733)/(N733*0.96))*100%</f>
        <v>0.18203478260869557</v>
      </c>
      <c r="AE733" s="238">
        <f>N733/$R$33</f>
        <v>0.48901834881891437</v>
      </c>
      <c r="AF733" s="239">
        <f>(V733/(1-$AA$731))</f>
        <v>0.51200000000000001</v>
      </c>
      <c r="AG733" s="1868">
        <v>0.93</v>
      </c>
      <c r="AH733" s="244">
        <f>((AF733-V733)/AF733)*100%</f>
        <v>0.25</v>
      </c>
      <c r="AO733" s="13"/>
      <c r="AP733" s="13"/>
    </row>
    <row r="734" spans="1:42" ht="15.75">
      <c r="A734" s="187"/>
      <c r="B734" s="1435" t="s">
        <v>950</v>
      </c>
      <c r="C734" s="804" t="s">
        <v>194</v>
      </c>
      <c r="D734" s="804">
        <v>52</v>
      </c>
      <c r="E734" s="804">
        <v>10</v>
      </c>
      <c r="F734" s="251">
        <v>200</v>
      </c>
      <c r="G734" s="17"/>
      <c r="H734" s="357">
        <v>58</v>
      </c>
      <c r="I734" s="357">
        <f>H734-H734*$I$698</f>
        <v>31.9</v>
      </c>
      <c r="J734" s="897"/>
      <c r="K734" s="321">
        <v>100</v>
      </c>
      <c r="L734" s="322">
        <v>52</v>
      </c>
      <c r="M734" s="335">
        <f>L734/D734*100%</f>
        <v>1</v>
      </c>
      <c r="N734" s="382">
        <f>K734-(K734*$O$33)</f>
        <v>50</v>
      </c>
      <c r="O734" s="386"/>
      <c r="P734" s="472">
        <f>((N734/I734)-1)*100%</f>
        <v>0.56739811912225702</v>
      </c>
      <c r="Q734" s="331">
        <v>0.55079999999999996</v>
      </c>
      <c r="R734" s="382">
        <f>Q734*$R$33</f>
        <v>25.905776399999997</v>
      </c>
      <c r="S734" s="918"/>
      <c r="T734" s="696">
        <f>((I734-R734)/I734)*100%</f>
        <v>0.18790669592476494</v>
      </c>
      <c r="U734" s="261">
        <v>0.45900000000000002</v>
      </c>
      <c r="V734" s="239">
        <f>U734*$X$31</f>
        <v>0.55079999999999996</v>
      </c>
      <c r="W734" s="239">
        <f>V734*$R$33</f>
        <v>25.905776399999997</v>
      </c>
      <c r="X734" s="240">
        <f>(ROUND(W734/(1-$AA$731),0))</f>
        <v>35</v>
      </c>
      <c r="Y734" s="239">
        <f>Z734*(1-$X$591)</f>
        <v>33.92</v>
      </c>
      <c r="Z734" s="240">
        <f>ROUND(X734/(1-$X$590),0)</f>
        <v>64</v>
      </c>
      <c r="AA734" s="241">
        <f>((X734-W734)/X734)*100%</f>
        <v>0.25983496000000006</v>
      </c>
      <c r="AB734" s="241">
        <f>((Y734-W734)/Y734)*100%</f>
        <v>0.23626838443396239</v>
      </c>
      <c r="AC734" s="1198">
        <f>((N734/Y734)-1)*100%</f>
        <v>0.47405660377358494</v>
      </c>
      <c r="AD734" s="1004">
        <f>((N734*0.96-W734)/(N734*0.96))*100%</f>
        <v>0.46029632500000006</v>
      </c>
      <c r="AE734" s="238">
        <f>N734/$R$33</f>
        <v>1.0630833669976398</v>
      </c>
      <c r="AF734" s="239">
        <f>(V734/(1-$AA$731))</f>
        <v>0.73439999999999994</v>
      </c>
      <c r="AG734" s="1868">
        <v>1.34</v>
      </c>
      <c r="AH734" s="244">
        <f>((AF734-V734)/AF734)*100%</f>
        <v>0.25</v>
      </c>
      <c r="AO734" s="13"/>
      <c r="AP734" s="13"/>
    </row>
    <row r="735" spans="1:42" ht="16.5" thickBot="1">
      <c r="A735" s="187"/>
      <c r="B735" s="1436" t="s">
        <v>951</v>
      </c>
      <c r="C735" s="790" t="s">
        <v>956</v>
      </c>
      <c r="D735" s="790">
        <v>92</v>
      </c>
      <c r="E735" s="790">
        <v>10</v>
      </c>
      <c r="F735" s="276">
        <v>150</v>
      </c>
      <c r="G735" s="17"/>
      <c r="H735" s="357">
        <v>90</v>
      </c>
      <c r="I735" s="357">
        <f>H735-H735*$I$698</f>
        <v>49.5</v>
      </c>
      <c r="J735" s="897"/>
      <c r="K735" s="321"/>
      <c r="L735" s="322"/>
      <c r="M735" s="860"/>
      <c r="N735" s="382"/>
      <c r="O735" s="386"/>
      <c r="P735" s="472"/>
      <c r="Q735" s="336">
        <v>0.86519999999999997</v>
      </c>
      <c r="R735" s="382">
        <f>Q735*$R$33</f>
        <v>40.692951600000001</v>
      </c>
      <c r="S735" s="918"/>
      <c r="T735" s="696">
        <f>((I735-R735)/I735)*100%</f>
        <v>0.17792016969696969</v>
      </c>
      <c r="U735" s="261">
        <v>0.72099999999999997</v>
      </c>
      <c r="V735" s="239">
        <f>U735*$X$31</f>
        <v>0.86519999999999997</v>
      </c>
      <c r="W735" s="239">
        <f>V735*$R$33</f>
        <v>40.692951600000001</v>
      </c>
      <c r="X735" s="240">
        <f>(ROUND(W735/(1-$AA$731),0))</f>
        <v>54</v>
      </c>
      <c r="Y735" s="239">
        <f>Z735*(1-$X$591)</f>
        <v>51.940000000000005</v>
      </c>
      <c r="Z735" s="240">
        <f>ROUND(X735/(1-$X$590),0)</f>
        <v>98</v>
      </c>
      <c r="AA735" s="241">
        <f>((X735-W735)/X735)*100%</f>
        <v>0.2464268222222222</v>
      </c>
      <c r="AB735" s="241">
        <f>((Y735-W735)/Y735)*100%</f>
        <v>0.21653924528301893</v>
      </c>
      <c r="AC735" s="265"/>
      <c r="AD735" s="1004"/>
      <c r="AE735" s="238">
        <f>N735/$R$33</f>
        <v>0</v>
      </c>
      <c r="AF735" s="239">
        <f>(V735/(1-$AA$731))</f>
        <v>1.1536</v>
      </c>
      <c r="AG735" s="1868">
        <v>2.1</v>
      </c>
      <c r="AH735" s="244">
        <f>((AF735-V735)/AF735)*100%</f>
        <v>0.25</v>
      </c>
      <c r="AO735" s="13"/>
      <c r="AP735" s="13"/>
    </row>
    <row r="736" spans="1:42">
      <c r="A736" s="187"/>
      <c r="B736" s="797"/>
      <c r="C736" s="1418"/>
      <c r="D736" s="796"/>
      <c r="E736" s="796"/>
      <c r="F736" s="414"/>
      <c r="G736" s="17"/>
      <c r="H736" s="784"/>
      <c r="I736" s="1058"/>
      <c r="J736" s="897"/>
      <c r="K736" s="533"/>
      <c r="T736" s="392"/>
      <c r="U736" s="1417"/>
      <c r="V736" s="1417"/>
      <c r="W736" s="1417"/>
      <c r="X736" s="1417"/>
      <c r="Y736" s="1417"/>
      <c r="Z736" s="1417"/>
      <c r="AA736" s="392"/>
      <c r="AB736" s="392"/>
      <c r="AC736" s="392"/>
      <c r="AD736" s="1249">
        <f>AVERAGE(AD733:AD735)</f>
        <v>0.3211655538043478</v>
      </c>
      <c r="AE736" s="1417"/>
      <c r="AF736" s="1417"/>
      <c r="AG736" s="1897"/>
      <c r="AH736" s="392"/>
      <c r="AO736" s="13"/>
      <c r="AP736" s="13"/>
    </row>
    <row r="737" spans="1:42" ht="19.5" thickBot="1">
      <c r="A737" s="149" t="s">
        <v>953</v>
      </c>
      <c r="B737" s="1429"/>
      <c r="C737" s="2368" t="s">
        <v>958</v>
      </c>
      <c r="D737" s="2368"/>
      <c r="E737" s="2368"/>
      <c r="F737" s="2368"/>
      <c r="G737" s="2369"/>
      <c r="H737" s="1058"/>
      <c r="I737" s="785"/>
      <c r="J737" s="897"/>
      <c r="K737" s="533"/>
      <c r="M737" s="1420" t="s">
        <v>1330</v>
      </c>
      <c r="T737" s="1851"/>
      <c r="U737" s="627"/>
      <c r="V737" s="627"/>
      <c r="W737" s="627"/>
      <c r="X737" s="627"/>
      <c r="Y737" s="627"/>
      <c r="Z737" s="627"/>
      <c r="AA737" s="614">
        <v>0.32</v>
      </c>
      <c r="AB737" s="628"/>
      <c r="AC737" s="628"/>
      <c r="AD737" s="1851"/>
      <c r="AE737" s="188"/>
      <c r="AF737" s="188"/>
      <c r="AG737" s="1866"/>
      <c r="AH737" s="1851"/>
      <c r="AO737" s="13"/>
      <c r="AP737" s="13"/>
    </row>
    <row r="738" spans="1:42" ht="36.75" thickBot="1">
      <c r="A738" s="187"/>
      <c r="B738" s="799" t="s">
        <v>10</v>
      </c>
      <c r="C738" s="1421" t="s">
        <v>11</v>
      </c>
      <c r="D738" s="801" t="s">
        <v>12</v>
      </c>
      <c r="E738" s="801" t="s">
        <v>13</v>
      </c>
      <c r="F738" s="802" t="s">
        <v>14</v>
      </c>
      <c r="G738" s="392"/>
      <c r="H738" s="347" t="s">
        <v>1090</v>
      </c>
      <c r="I738" s="347">
        <f>$C$17</f>
        <v>0.45</v>
      </c>
      <c r="J738" s="897"/>
      <c r="K738" s="548" t="s">
        <v>15</v>
      </c>
      <c r="L738" s="423" t="s">
        <v>12</v>
      </c>
      <c r="M738" s="196" t="s">
        <v>1091</v>
      </c>
      <c r="N738" s="549" t="s">
        <v>993</v>
      </c>
      <c r="O738" s="424" t="s">
        <v>1092</v>
      </c>
      <c r="P738" s="199" t="s">
        <v>1092</v>
      </c>
      <c r="Q738" s="200" t="s">
        <v>1093</v>
      </c>
      <c r="R738" s="201" t="s">
        <v>1094</v>
      </c>
      <c r="S738" s="350" t="s">
        <v>1095</v>
      </c>
      <c r="T738" s="1117" t="s">
        <v>1095</v>
      </c>
      <c r="U738" s="204" t="s">
        <v>1096</v>
      </c>
      <c r="V738" s="205" t="s">
        <v>1093</v>
      </c>
      <c r="W738" s="206" t="s">
        <v>1094</v>
      </c>
      <c r="X738" s="207" t="s">
        <v>1097</v>
      </c>
      <c r="Y738" s="208">
        <f>$X$591</f>
        <v>0.47</v>
      </c>
      <c r="Z738" s="207" t="s">
        <v>1098</v>
      </c>
      <c r="AA738" s="209" t="s">
        <v>1099</v>
      </c>
      <c r="AB738" s="209" t="s">
        <v>1100</v>
      </c>
      <c r="AC738" s="210" t="s">
        <v>1092</v>
      </c>
      <c r="AD738" s="211" t="s">
        <v>1101</v>
      </c>
      <c r="AE738" s="209" t="s">
        <v>1102</v>
      </c>
      <c r="AF738" s="208" t="s">
        <v>1103</v>
      </c>
      <c r="AG738" s="1867" t="s">
        <v>1104</v>
      </c>
      <c r="AH738" s="213" t="s">
        <v>1116</v>
      </c>
      <c r="AO738" s="13"/>
      <c r="AP738" s="13"/>
    </row>
    <row r="739" spans="1:42" ht="15.75">
      <c r="A739" s="187"/>
      <c r="B739" s="1434" t="s">
        <v>954</v>
      </c>
      <c r="C739" s="1100" t="s">
        <v>192</v>
      </c>
      <c r="D739" s="1100">
        <v>90</v>
      </c>
      <c r="E739" s="1100">
        <v>10</v>
      </c>
      <c r="F739" s="224">
        <v>200</v>
      </c>
      <c r="G739" s="17"/>
      <c r="H739" s="357">
        <v>74</v>
      </c>
      <c r="I739" s="357">
        <f>H739-H739*$I$698</f>
        <v>40.699999999999996</v>
      </c>
      <c r="J739" s="897"/>
      <c r="K739" s="807"/>
      <c r="L739" s="808"/>
      <c r="M739" s="878"/>
      <c r="N739" s="235"/>
      <c r="O739" s="880"/>
      <c r="P739" s="470"/>
      <c r="Q739" s="326">
        <v>3.9588123167155431</v>
      </c>
      <c r="R739" s="258">
        <f>Q739*$R$33</f>
        <v>186.19481969208215</v>
      </c>
      <c r="S739" s="1314"/>
      <c r="T739" s="1128">
        <f>((I739-R739)/I739)*100%</f>
        <v>-3.5748112946457535</v>
      </c>
      <c r="U739" s="238">
        <v>0.52</v>
      </c>
      <c r="V739" s="239">
        <f>U739*$X$31</f>
        <v>0.624</v>
      </c>
      <c r="W739" s="239">
        <f>V739*$R$33</f>
        <v>29.348592</v>
      </c>
      <c r="X739" s="240">
        <f>(ROUND(W739/(1-$AA$737),0))</f>
        <v>43</v>
      </c>
      <c r="Y739" s="239">
        <f>Z739*(1-$X$591)</f>
        <v>41.34</v>
      </c>
      <c r="Z739" s="240">
        <f>ROUND(X739/(1-$X$590),0)</f>
        <v>78</v>
      </c>
      <c r="AA739" s="241">
        <f>((X739-W739)/X739)*100%</f>
        <v>0.31747460465116278</v>
      </c>
      <c r="AB739" s="241">
        <f>((Y739-W739)/Y739)*100%</f>
        <v>0.29006792452830193</v>
      </c>
      <c r="AC739" s="265"/>
      <c r="AD739" s="1004"/>
      <c r="AE739" s="238">
        <f>N739/$R$33</f>
        <v>0</v>
      </c>
      <c r="AF739" s="239">
        <f>(V739/(1-$AA$737))</f>
        <v>0.91764705882352948</v>
      </c>
      <c r="AG739" s="1868">
        <v>1.67</v>
      </c>
      <c r="AH739" s="244">
        <f>((AF739-V739)/AF739)*100%</f>
        <v>0.32000000000000006</v>
      </c>
      <c r="AO739" s="13"/>
      <c r="AP739" s="13"/>
    </row>
    <row r="740" spans="1:42" ht="15.75">
      <c r="A740" s="187"/>
      <c r="B740" s="1435" t="s">
        <v>955</v>
      </c>
      <c r="C740" s="804" t="s">
        <v>194</v>
      </c>
      <c r="D740" s="804">
        <v>110</v>
      </c>
      <c r="E740" s="804">
        <v>5</v>
      </c>
      <c r="F740" s="251">
        <v>100</v>
      </c>
      <c r="G740" s="17"/>
      <c r="H740" s="357">
        <v>113</v>
      </c>
      <c r="I740" s="357">
        <f>H740-H740*$I$698</f>
        <v>62.15</v>
      </c>
      <c r="J740" s="897"/>
      <c r="K740" s="321">
        <v>377</v>
      </c>
      <c r="L740" s="322">
        <v>160</v>
      </c>
      <c r="M740" s="335">
        <f>L740/D740*100%</f>
        <v>1.4545454545454546</v>
      </c>
      <c r="N740" s="382">
        <f>K740-(K740*$O$33)</f>
        <v>188.5</v>
      </c>
      <c r="O740" s="386"/>
      <c r="P740" s="472">
        <f>((N740/I740)-1)*100%</f>
        <v>2.0329847144006439</v>
      </c>
      <c r="Q740" s="331">
        <v>6.0000858369098715</v>
      </c>
      <c r="R740" s="382">
        <f>Q740*$R$33</f>
        <v>282.202037167382</v>
      </c>
      <c r="S740" s="918"/>
      <c r="T740" s="696">
        <f>((I740-R740)/I740)*100%</f>
        <v>-3.5406602923150765</v>
      </c>
      <c r="U740" s="261">
        <v>0.78600000000000003</v>
      </c>
      <c r="V740" s="239">
        <f>U740*$X$31</f>
        <v>0.94320000000000004</v>
      </c>
      <c r="W740" s="239">
        <f>V740*$R$33</f>
        <v>44.3615256</v>
      </c>
      <c r="X740" s="240">
        <f>(ROUND(W740/(1-$AA$737),0))</f>
        <v>65</v>
      </c>
      <c r="Y740" s="239">
        <f>Z740*(1-$X$591)</f>
        <v>62.540000000000006</v>
      </c>
      <c r="Z740" s="240">
        <f>ROUND(X740/(1-$X$590),0)</f>
        <v>118</v>
      </c>
      <c r="AA740" s="241">
        <f>((X740-W740)/X740)*100%</f>
        <v>0.31751499076923079</v>
      </c>
      <c r="AB740" s="241">
        <f>((Y740-W740)/Y740)*100%</f>
        <v>0.29066956188039661</v>
      </c>
      <c r="AC740" s="265">
        <f>((N740/Y740)-1)*100%</f>
        <v>2.0140709945634789</v>
      </c>
      <c r="AD740" s="1004">
        <f>((N740*0.96-W740)/(N740*0.96))*100%</f>
        <v>0.75485452254641916</v>
      </c>
      <c r="AE740" s="238">
        <f>N740/$R$33</f>
        <v>4.0078242935811028</v>
      </c>
      <c r="AF740" s="239">
        <f>(V740/(1-$AA$737))</f>
        <v>1.3870588235294119</v>
      </c>
      <c r="AG740" s="1868">
        <v>2.52</v>
      </c>
      <c r="AH740" s="244">
        <f>((AF740-V740)/AF740)*100%</f>
        <v>0.32000000000000006</v>
      </c>
      <c r="AO740" s="13"/>
      <c r="AP740" s="13"/>
    </row>
    <row r="741" spans="1:42" ht="16.5" thickBot="1">
      <c r="A741" s="187"/>
      <c r="B741" s="1436" t="s">
        <v>957</v>
      </c>
      <c r="C741" s="790" t="s">
        <v>956</v>
      </c>
      <c r="D741" s="790">
        <v>170</v>
      </c>
      <c r="E741" s="790">
        <v>4</v>
      </c>
      <c r="F741" s="276">
        <v>80</v>
      </c>
      <c r="G741" s="17"/>
      <c r="H741" s="357">
        <v>225</v>
      </c>
      <c r="I741" s="357">
        <f>H741-H741*$I$698</f>
        <v>123.75</v>
      </c>
      <c r="J741" s="897"/>
      <c r="K741" s="321">
        <v>858</v>
      </c>
      <c r="L741" s="322">
        <v>270</v>
      </c>
      <c r="M741" s="860">
        <f>L741/D741*100%</f>
        <v>1.588235294117647</v>
      </c>
      <c r="N741" s="382">
        <f>K741-(K741*$O$33)</f>
        <v>429</v>
      </c>
      <c r="O741" s="386"/>
      <c r="P741" s="472">
        <f>((N741/I741)-1)*100%</f>
        <v>2.4666666666666668</v>
      </c>
      <c r="Q741" s="336">
        <v>5.2431746031746034</v>
      </c>
      <c r="R741" s="382">
        <f>Q741*$R$33</f>
        <v>246.60223111111114</v>
      </c>
      <c r="S741" s="918"/>
      <c r="T741" s="696">
        <f>((I741-R741)/I741)*100%</f>
        <v>-0.99274530190796884</v>
      </c>
      <c r="U741" s="261">
        <v>1.6879999999999999</v>
      </c>
      <c r="V741" s="239">
        <f>U741*$X$31</f>
        <v>2.0255999999999998</v>
      </c>
      <c r="W741" s="239">
        <f>V741*$R$33</f>
        <v>95.270044799999994</v>
      </c>
      <c r="X741" s="240">
        <f>(ROUND(W741/(1-$AA$737),0))</f>
        <v>140</v>
      </c>
      <c r="Y741" s="239">
        <f>Z741*(1-$X$591)</f>
        <v>135.15</v>
      </c>
      <c r="Z741" s="240">
        <f>ROUND(X741/(1-$X$590),0)</f>
        <v>255</v>
      </c>
      <c r="AA741" s="241">
        <f>((X741-W741)/X741)*100%</f>
        <v>0.31949968000000006</v>
      </c>
      <c r="AB741" s="241">
        <f>((Y741-W741)/Y741)*100%</f>
        <v>0.2950792097669257</v>
      </c>
      <c r="AC741" s="265">
        <f>((N741/Y741)-1)*100%</f>
        <v>2.1742508324084349</v>
      </c>
      <c r="AD741" s="1004">
        <f>((N741*0.96-W741)/(N741*0.96))*100%</f>
        <v>0.7686721911421911</v>
      </c>
      <c r="AE741" s="238">
        <f>N741/$R$33</f>
        <v>9.12125528883975</v>
      </c>
      <c r="AF741" s="239">
        <f>(V741/(1-$AA$737))</f>
        <v>2.9788235294117649</v>
      </c>
      <c r="AG741" s="1868">
        <v>5.42</v>
      </c>
      <c r="AH741" s="244">
        <f>((AF741-V741)/AF741)*100%</f>
        <v>0.32000000000000006</v>
      </c>
      <c r="AO741" s="13"/>
      <c r="AP741" s="13"/>
    </row>
    <row r="742" spans="1:42">
      <c r="A742" s="2311"/>
      <c r="B742" s="2311"/>
      <c r="C742" s="2311"/>
      <c r="D742" s="2311"/>
      <c r="E742" s="2311"/>
      <c r="F742" s="2311"/>
      <c r="G742" s="2311"/>
      <c r="H742" s="1058"/>
      <c r="I742" s="785"/>
      <c r="J742" s="897"/>
      <c r="K742" s="533"/>
      <c r="T742" s="392"/>
      <c r="U742" s="1417"/>
      <c r="V742" s="1417"/>
      <c r="W742" s="1417"/>
      <c r="X742" s="1417"/>
      <c r="Y742" s="1417"/>
      <c r="Z742" s="1417"/>
      <c r="AA742" s="392"/>
      <c r="AB742" s="392"/>
      <c r="AC742" s="392"/>
      <c r="AD742" s="1249">
        <f>AVERAGE(AD740:AD741)</f>
        <v>0.76176335684430518</v>
      </c>
      <c r="AE742" s="1417"/>
      <c r="AF742" s="1417"/>
      <c r="AG742" s="1897"/>
      <c r="AH742" s="392"/>
      <c r="AO742" s="13"/>
      <c r="AP742" s="13"/>
    </row>
    <row r="743" spans="1:42" ht="15.75" thickBot="1">
      <c r="A743" s="187"/>
      <c r="B743" s="413"/>
      <c r="C743" s="414"/>
      <c r="D743" s="414"/>
      <c r="E743" s="414"/>
      <c r="F743" s="414"/>
      <c r="G743" s="827"/>
      <c r="H743" s="785"/>
      <c r="I743" s="785"/>
      <c r="J743" s="897"/>
      <c r="K743" s="533"/>
      <c r="T743" s="392"/>
      <c r="U743" s="1417"/>
      <c r="V743" s="1417"/>
      <c r="W743" s="1417"/>
      <c r="X743" s="1417"/>
      <c r="Y743" s="1417"/>
      <c r="Z743" s="1417"/>
      <c r="AA743" s="392"/>
      <c r="AB743" s="392"/>
      <c r="AC743" s="392"/>
      <c r="AD743" s="392"/>
      <c r="AE743" s="1417"/>
      <c r="AF743" s="1417"/>
      <c r="AG743" s="1897"/>
      <c r="AH743" s="392"/>
      <c r="AO743" s="13"/>
      <c r="AP743" s="13"/>
    </row>
    <row r="744" spans="1:42" ht="15.75" thickBot="1">
      <c r="A744" s="187"/>
      <c r="C744" s="414"/>
      <c r="D744" s="414"/>
      <c r="E744" s="414"/>
      <c r="F744" s="414"/>
      <c r="G744" s="827"/>
      <c r="H744" s="785"/>
      <c r="I744" s="785"/>
      <c r="J744" s="897"/>
      <c r="K744" s="533"/>
      <c r="T744" s="392"/>
      <c r="U744" s="1417"/>
      <c r="V744" s="1417"/>
      <c r="W744" s="1417"/>
      <c r="X744" s="1417"/>
      <c r="Y744" s="1417"/>
      <c r="Z744" s="1417"/>
      <c r="AA744" s="392"/>
      <c r="AB744" s="392"/>
      <c r="AC744" s="392"/>
      <c r="AD744" s="392"/>
      <c r="AE744" s="1417"/>
      <c r="AF744" s="1417"/>
      <c r="AG744" s="1897"/>
      <c r="AH744" s="392"/>
      <c r="AI744" s="2336" t="s">
        <v>1331</v>
      </c>
      <c r="AJ744" s="2336"/>
      <c r="AK744" s="2336"/>
      <c r="AL744" s="2336"/>
      <c r="AM744" s="2336"/>
      <c r="AN744" s="2337"/>
      <c r="AO744" s="13"/>
      <c r="AP744" s="13"/>
    </row>
    <row r="745" spans="1:42" ht="48" thickBot="1">
      <c r="A745" s="187"/>
      <c r="B745" s="2372" t="s">
        <v>1332</v>
      </c>
      <c r="C745" s="2373"/>
      <c r="D745" s="2373"/>
      <c r="E745" s="2374"/>
      <c r="F745" s="1444" t="s">
        <v>1333</v>
      </c>
      <c r="G745" s="1445">
        <f>AVERAGE(O619:O624,O626:O630,O635:O640,O642:O646,O670:O671,O677:O682,O687:O690,O694)</f>
        <v>0.3135222747774225</v>
      </c>
      <c r="H745" s="1446"/>
      <c r="I745" s="1447"/>
      <c r="J745" s="1448" t="s">
        <v>1244</v>
      </c>
      <c r="K745" s="1449">
        <f>AVERAGE(M619:M624,M626:M630,M635:M640,M642:M646,M670:M671,M677:M682,M687:M690,M694)</f>
        <v>1.0161155415095591</v>
      </c>
      <c r="L745" s="1450" t="s">
        <v>1135</v>
      </c>
      <c r="M745" s="1451" t="s">
        <v>1334</v>
      </c>
      <c r="N745" s="1452">
        <f>AVERAGE(S595:S612,S619:S630,S635:S646,S651:S652,S657:S658,S664:S665,S670:S671,S677:S682,S687:S690,S694)</f>
        <v>0.15225880596171271</v>
      </c>
      <c r="P745" s="199">
        <f>AVERAGE(P619:P624,P626:P630,P635:P640,P646,P670:P671,P677:P682,P687:P690,P694)</f>
        <v>0.1889912756603746</v>
      </c>
      <c r="T745" s="525">
        <f>AVERAGE(T595:T612,T619:T630,T635:T646,T651:T652,T657:T658,T666,T673,T683,T670:T671,T677:T682,T687:T690,T694)</f>
        <v>0.21332849076343643</v>
      </c>
      <c r="U745" s="2350" t="s">
        <v>1335</v>
      </c>
      <c r="V745" s="2331"/>
      <c r="W745" s="2331"/>
      <c r="X745" s="2331"/>
      <c r="Y745" s="2331"/>
      <c r="Z745" s="2351"/>
      <c r="AA745" s="1144">
        <f>AVERAGE(AA595:AA612,AA619:AA630,AA635:AA646,AA651:AA652,AA657:AA659,AA663:AA665,AA670:AA672,AA677:AA682,AA687:AA690,AA694,AA699:AA700,AA704:AA705,AA709,AA713,AA718:AA720,AA724:AA725,AA729,AA733:AA735,AA739:AA741)</f>
        <v>0.28209700799243564</v>
      </c>
      <c r="AB745" s="1144">
        <f>AVERAGE(AB595:AB612,AB619:AB630,AB635:AB646,AB651:AB652,AB657:AB659,AB663:AB665,AB670:AB672,AB677:AB682,AB687:AB690,AB694,AB699:AB700,AB704:AB705,AB709,AB713,AB718:AB720,AB724:AB725,AB729,AB733:AB735,AB739:AB741)</f>
        <v>0.25512413066163736</v>
      </c>
      <c r="AC745" s="1144">
        <f>AVERAGE(AC595:AC612,AC619:AC630,AC635:AC646,AC651:AC652,AC657:AC659,AC663:AC665,AC670:AC672,AC677:AC682,AC687:AC690,AC694,AC699:AC700,AC704:AC705,AC709,AC713,AC718:AC720,AC724:AC725,AC729,AC733:AC735,AC739:AC741)</f>
        <v>0.28710572642463339</v>
      </c>
      <c r="AD745" s="1144"/>
      <c r="AE745" s="1145"/>
      <c r="AF745" s="1145"/>
      <c r="AG745" s="1891"/>
      <c r="AH745" s="1146">
        <f>AVERAGE(AH595:AH612,AH619:AH630,AH635:AH646,AH651:AH652,AH657:AH658,AH663:AH665,AH670:AH672,AH677:AH682,AH687:AH690,AH694,AH699:AH700,AH704:AH705,AH709,AH713,AH718:AH720,AH724:AH725,AH729,AH733:AH735,AH739:AH741)</f>
        <v>0.28222222222222237</v>
      </c>
      <c r="AI745" s="838">
        <f>AVERAGE(AI613,AI631,AI647,AI653,AI659,AI666,AI673,AI683,AI691,S694)</f>
        <v>0.10235534831070507</v>
      </c>
      <c r="AJ745" s="839">
        <f>SUM(AJ613,AJ631,AJ647,AJ653,AJ659,AJ666,AJ673,AJ683,AJ691,AJ694)</f>
        <v>58821</v>
      </c>
      <c r="AK745" s="840">
        <f>SUM(AK613,AK631,AK647,AK653,AK659,AK666,AK673,AK683,AK691,AK694)</f>
        <v>25522.371113554134</v>
      </c>
      <c r="AL745" s="841"/>
      <c r="AM745" s="842">
        <f>SUM(AM613,AM631,AM647,AM653,AM659,AM666,AM673,AM683,AM691,AM694)</f>
        <v>1</v>
      </c>
      <c r="AN745" s="842">
        <f>SUM(AN613,AN631,AN647,AN653,AN659,AN666,AN673,AN683,AN691,AN694)</f>
        <v>1</v>
      </c>
      <c r="AO745" s="13"/>
      <c r="AP745" s="13"/>
    </row>
    <row r="746" spans="1:42">
      <c r="AO746" s="13"/>
      <c r="AP746" s="13"/>
    </row>
    <row r="747" spans="1:42">
      <c r="U747" s="1453">
        <v>1.415</v>
      </c>
      <c r="W747" s="1026" t="s">
        <v>1251</v>
      </c>
      <c r="X747" s="1026">
        <f>$C$18</f>
        <v>0.51</v>
      </c>
      <c r="AO747" s="13"/>
      <c r="AP747" s="13"/>
    </row>
    <row r="748" spans="1:42" ht="18.75">
      <c r="A748" s="146" t="s">
        <v>741</v>
      </c>
      <c r="B748" s="1454"/>
      <c r="C748" s="1455"/>
      <c r="D748" s="619"/>
      <c r="E748" s="187"/>
      <c r="G748" s="187"/>
      <c r="J748" s="622"/>
      <c r="W748" s="1026" t="s">
        <v>1252</v>
      </c>
      <c r="X748" s="1026">
        <v>0.54</v>
      </c>
      <c r="AO748" s="13"/>
      <c r="AP748" s="13"/>
    </row>
    <row r="749" spans="1:42" ht="18.75">
      <c r="A749" s="187"/>
      <c r="B749" s="619"/>
      <c r="C749" s="620"/>
      <c r="D749" s="187"/>
      <c r="E749" s="187"/>
      <c r="F749" s="621"/>
      <c r="G749" s="621"/>
      <c r="H749" s="159"/>
      <c r="I749" s="160"/>
      <c r="J749" s="622"/>
      <c r="AO749" s="13"/>
      <c r="AP749" s="13"/>
    </row>
    <row r="750" spans="1:42" ht="15.75" thickBot="1">
      <c r="A750" s="149" t="s">
        <v>123</v>
      </c>
      <c r="B750" s="187"/>
      <c r="C750" s="798" t="s">
        <v>768</v>
      </c>
      <c r="D750" s="187"/>
      <c r="E750" s="187"/>
      <c r="G750" s="187"/>
      <c r="J750" s="622"/>
      <c r="T750" s="1851"/>
      <c r="U750" s="627"/>
      <c r="V750" s="627"/>
      <c r="W750" s="627"/>
      <c r="X750" s="627"/>
      <c r="Y750" s="627"/>
      <c r="Z750" s="627"/>
      <c r="AA750" s="614">
        <v>0.18</v>
      </c>
      <c r="AB750" s="628"/>
      <c r="AC750" s="628"/>
      <c r="AD750" s="1851"/>
      <c r="AE750" s="188"/>
      <c r="AF750" s="188"/>
      <c r="AG750" s="1866"/>
      <c r="AH750" s="1851"/>
      <c r="AO750" s="13"/>
      <c r="AP750" s="13"/>
    </row>
    <row r="751" spans="1:42" ht="60.75" thickBot="1">
      <c r="A751" s="187"/>
      <c r="B751" s="799" t="s">
        <v>10</v>
      </c>
      <c r="C751" s="800" t="s">
        <v>11</v>
      </c>
      <c r="D751" s="801" t="s">
        <v>12</v>
      </c>
      <c r="E751" s="801" t="s">
        <v>13</v>
      </c>
      <c r="F751" s="190" t="s">
        <v>14</v>
      </c>
      <c r="G751" s="1456" t="s">
        <v>15</v>
      </c>
      <c r="H751" s="347" t="s">
        <v>1090</v>
      </c>
      <c r="I751" s="348">
        <f>$C$18</f>
        <v>0.51</v>
      </c>
      <c r="J751" s="787">
        <f>$C$18</f>
        <v>0.51</v>
      </c>
      <c r="Q751" s="875" t="s">
        <v>1093</v>
      </c>
      <c r="R751" s="876" t="s">
        <v>1094</v>
      </c>
      <c r="S751" s="1126" t="s">
        <v>1095</v>
      </c>
      <c r="T751" s="1220" t="s">
        <v>1095</v>
      </c>
      <c r="U751" s="204" t="s">
        <v>1096</v>
      </c>
      <c r="V751" s="205" t="s">
        <v>1093</v>
      </c>
      <c r="W751" s="206" t="s">
        <v>1094</v>
      </c>
      <c r="X751" s="207" t="s">
        <v>1097</v>
      </c>
      <c r="Y751" s="208">
        <f>$X$748</f>
        <v>0.54</v>
      </c>
      <c r="Z751" s="207" t="s">
        <v>1098</v>
      </c>
      <c r="AA751" s="209" t="s">
        <v>1099</v>
      </c>
      <c r="AB751" s="209" t="s">
        <v>1100</v>
      </c>
      <c r="AC751" s="210" t="s">
        <v>1300</v>
      </c>
      <c r="AD751" s="211" t="s">
        <v>1101</v>
      </c>
      <c r="AE751" s="209" t="s">
        <v>1102</v>
      </c>
      <c r="AF751" s="208" t="s">
        <v>1103</v>
      </c>
      <c r="AG751" s="1867" t="s">
        <v>1104</v>
      </c>
      <c r="AH751" s="213" t="s">
        <v>1116</v>
      </c>
      <c r="AI751" s="220" t="s">
        <v>1106</v>
      </c>
      <c r="AJ751" s="483" t="s">
        <v>1107</v>
      </c>
      <c r="AK751" s="484" t="s">
        <v>1108</v>
      </c>
      <c r="AL751" s="221" t="s">
        <v>1109</v>
      </c>
      <c r="AM751" s="221" t="s">
        <v>1175</v>
      </c>
      <c r="AN751" s="221" t="s">
        <v>1176</v>
      </c>
      <c r="AO751" s="13"/>
      <c r="AP751" s="13"/>
    </row>
    <row r="752" spans="1:42">
      <c r="A752" s="271"/>
      <c r="B752" s="1457" t="s">
        <v>371</v>
      </c>
      <c r="C752" s="1099" t="s">
        <v>190</v>
      </c>
      <c r="D752" s="1100">
        <v>400</v>
      </c>
      <c r="E752" s="1101">
        <v>1</v>
      </c>
      <c r="F752" s="224">
        <v>40</v>
      </c>
      <c r="G752" s="1458">
        <v>190</v>
      </c>
      <c r="H752" s="397">
        <f>G752*(1+$H$33)</f>
        <v>203.3</v>
      </c>
      <c r="I752" s="397">
        <f>H752-H752*$J$751</f>
        <v>99.617000000000004</v>
      </c>
      <c r="J752" s="1255">
        <f>G752-G752*$J$751</f>
        <v>93.1</v>
      </c>
      <c r="Q752" s="336">
        <v>2.1958832643531787</v>
      </c>
      <c r="R752" s="382">
        <f>Q752*$R$33</f>
        <v>103.27897757232306</v>
      </c>
      <c r="S752" s="918">
        <f>((J752-R752)/J752)*100%</f>
        <v>-0.10933380851045181</v>
      </c>
      <c r="T752" s="1227">
        <f>((I752-R752)/I752)*100%</f>
        <v>-3.676056870135673E-2</v>
      </c>
      <c r="U752" s="238">
        <v>1.4259999999999999</v>
      </c>
      <c r="V752" s="239">
        <f>U752*$U$747</f>
        <v>2.0177899999999998</v>
      </c>
      <c r="W752" s="239">
        <f>V752*$R$33</f>
        <v>94.902717069999994</v>
      </c>
      <c r="X752" s="240">
        <f>(ROUND(W752/(1-$AA$750),0))</f>
        <v>116</v>
      </c>
      <c r="Y752" s="239">
        <f>Z752*(1-$X$748)</f>
        <v>109.02</v>
      </c>
      <c r="Z752" s="240">
        <f>ROUND(X752/(1-$X$747),0)</f>
        <v>237</v>
      </c>
      <c r="AA752" s="241">
        <f>((X752-W752)/X752)*100%</f>
        <v>0.18187312870689659</v>
      </c>
      <c r="AB752" s="241">
        <f>((Y752-W752)/Y752)*100%</f>
        <v>0.12949259704641353</v>
      </c>
      <c r="AC752" s="265">
        <f>((Y752/I752)-1)*100%</f>
        <v>9.4391519519760658E-2</v>
      </c>
      <c r="AD752" s="1004"/>
      <c r="AE752" s="238">
        <f>N752/$R$33</f>
        <v>0</v>
      </c>
      <c r="AF752" s="239">
        <f>(V752/(1-$AA$750))</f>
        <v>2.4607195121951215</v>
      </c>
      <c r="AG752" s="1886">
        <v>5.0199999999999996</v>
      </c>
      <c r="AH752" s="244">
        <f>((AF752-V752)/AF752)*100%</f>
        <v>0.17999999999999997</v>
      </c>
      <c r="AI752" s="1459">
        <f>AJ752/$AJ$754</f>
        <v>0.56261694778847127</v>
      </c>
      <c r="AJ752" s="563">
        <f>[1]Статистика!D97</f>
        <v>83889</v>
      </c>
      <c r="AK752" s="1397">
        <f>Q752*S752*AJ752</f>
        <v>-20140.430193114782</v>
      </c>
      <c r="AL752" s="1459">
        <f>AK752/$AK$754</f>
        <v>0.58986764515799839</v>
      </c>
      <c r="AM752" s="1395">
        <f>AJ752/$AJ$766</f>
        <v>0.25992266364261679</v>
      </c>
      <c r="AN752" s="1395">
        <f>AK752/$AK$766</f>
        <v>0.47916015583158145</v>
      </c>
      <c r="AO752" s="13"/>
      <c r="AP752" s="13"/>
    </row>
    <row r="753" spans="1:42" ht="15.75" thickBot="1">
      <c r="A753" s="187"/>
      <c r="B753" s="1460" t="s">
        <v>372</v>
      </c>
      <c r="C753" s="789" t="s">
        <v>192</v>
      </c>
      <c r="D753" s="790">
        <v>400</v>
      </c>
      <c r="E753" s="791">
        <v>1</v>
      </c>
      <c r="F753" s="276">
        <v>40</v>
      </c>
      <c r="G753" s="1461">
        <v>210</v>
      </c>
      <c r="H753" s="360">
        <f>G753*(1+$H$33)</f>
        <v>224.70000000000002</v>
      </c>
      <c r="I753" s="360">
        <f>H753-H753*$J$751</f>
        <v>110.10300000000001</v>
      </c>
      <c r="J753" s="1462">
        <f>G753-G753*$J$751</f>
        <v>102.89999999999999</v>
      </c>
      <c r="Q753" s="331">
        <v>2.3848146291493211</v>
      </c>
      <c r="R753" s="382">
        <f>Q753*$R$33</f>
        <v>112.16498645278003</v>
      </c>
      <c r="S753" s="918">
        <f>((J753-R753)/J753)*100%</f>
        <v>-9.0038741037706871E-2</v>
      </c>
      <c r="T753" s="1234">
        <f>((I753-R753)/I753)*100%</f>
        <v>-1.8727795362342703E-2</v>
      </c>
      <c r="U753" s="288">
        <v>1.5249999999999999</v>
      </c>
      <c r="V753" s="239">
        <f>U753*$U$747</f>
        <v>2.1578749999999998</v>
      </c>
      <c r="W753" s="239">
        <f>V753*$R$33</f>
        <v>101.49133487499999</v>
      </c>
      <c r="X753" s="240">
        <f>(ROUND(W753/(1-$AA$750),0))</f>
        <v>124</v>
      </c>
      <c r="Y753" s="239">
        <f>Z753*(1-$X$748)</f>
        <v>116.38</v>
      </c>
      <c r="Z753" s="240">
        <f>ROUND(X753/(1-$X$747),0)</f>
        <v>253</v>
      </c>
      <c r="AA753" s="241">
        <f>((X753-W753)/X753)*100%</f>
        <v>0.18152149294354844</v>
      </c>
      <c r="AB753" s="241">
        <f>((Y753-W753)/Y753)*100%</f>
        <v>0.12793147555421897</v>
      </c>
      <c r="AC753" s="265">
        <f>((Y753/I753)-1)*100%</f>
        <v>5.7010254034858043E-2</v>
      </c>
      <c r="AD753" s="1004"/>
      <c r="AE753" s="238">
        <f>N753/$R$33</f>
        <v>0</v>
      </c>
      <c r="AF753" s="239">
        <f>(V753/(1-$AA$750))</f>
        <v>2.6315548780487799</v>
      </c>
      <c r="AG753" s="1886">
        <v>5.37</v>
      </c>
      <c r="AH753" s="244">
        <f>((AF753-V753)/AF753)*100%</f>
        <v>0.17999999999999988</v>
      </c>
      <c r="AI753" s="506">
        <f>AJ753/$AJ$754</f>
        <v>0.43738305221152879</v>
      </c>
      <c r="AJ753" s="333">
        <f>[1]Статистика!D98</f>
        <v>65216</v>
      </c>
      <c r="AK753" s="859">
        <f>Q753*S753*AJ753</f>
        <v>-14003.551695771646</v>
      </c>
      <c r="AL753" s="506">
        <f>AK753/$AK$754</f>
        <v>0.41013235484200167</v>
      </c>
      <c r="AM753" s="77">
        <f>AJ753/$AJ$766</f>
        <v>0.20206602095765711</v>
      </c>
      <c r="AN753" s="77">
        <f>AK753/$AK$766</f>
        <v>0.33315792902156649</v>
      </c>
      <c r="AO753" s="13"/>
      <c r="AP753" s="13"/>
    </row>
    <row r="754" spans="1:42" ht="15.75" thickBot="1">
      <c r="A754" s="187"/>
      <c r="B754" s="17"/>
      <c r="C754" s="620"/>
      <c r="D754" s="187"/>
      <c r="E754" s="187"/>
      <c r="G754" s="187"/>
      <c r="J754" s="622"/>
      <c r="S754" s="364"/>
      <c r="T754" s="365"/>
      <c r="U754" s="366"/>
      <c r="V754" s="366"/>
      <c r="W754" s="366"/>
      <c r="X754" s="366"/>
      <c r="Y754" s="366"/>
      <c r="Z754" s="366"/>
      <c r="AA754" s="367"/>
      <c r="AB754" s="367"/>
      <c r="AC754" s="367"/>
      <c r="AD754" s="367"/>
      <c r="AE754" s="366"/>
      <c r="AF754" s="366"/>
      <c r="AG754" s="1872"/>
      <c r="AH754" s="367"/>
      <c r="AI754" s="512">
        <f>S752*AI752+S753*AI753</f>
        <v>-0.10089447300659524</v>
      </c>
      <c r="AJ754" s="1463">
        <f>SUM(AJ752:AJ753)</f>
        <v>149105</v>
      </c>
      <c r="AK754" s="514">
        <f>SUM(AK752:AK753)</f>
        <v>-34143.981888886425</v>
      </c>
      <c r="AM754" s="307">
        <f>SUM(AM752:AM753)</f>
        <v>0.46198868460027387</v>
      </c>
      <c r="AN754" s="307">
        <f>SUM(AN752:AN753)</f>
        <v>0.81231808485314794</v>
      </c>
      <c r="AO754" s="13"/>
      <c r="AP754" s="13"/>
    </row>
    <row r="755" spans="1:42" ht="15.75" thickBot="1">
      <c r="A755" s="530" t="s">
        <v>746</v>
      </c>
      <c r="B755" s="187"/>
      <c r="C755" s="1161" t="s">
        <v>769</v>
      </c>
      <c r="D755" s="586"/>
      <c r="E755" s="586"/>
      <c r="F755" s="540"/>
      <c r="G755" s="586"/>
      <c r="H755" s="530"/>
      <c r="I755" s="587"/>
      <c r="J755" s="622"/>
      <c r="T755" s="1851"/>
      <c r="U755" s="627"/>
      <c r="V755" s="627"/>
      <c r="W755" s="627"/>
      <c r="X755" s="627"/>
      <c r="Y755" s="627"/>
      <c r="Z755" s="627"/>
      <c r="AA755" s="614">
        <v>0.17</v>
      </c>
      <c r="AB755" s="628"/>
      <c r="AC755" s="628"/>
      <c r="AD755" s="1851"/>
      <c r="AE755" s="188"/>
      <c r="AF755" s="188"/>
      <c r="AG755" s="1866"/>
      <c r="AH755" s="1851"/>
      <c r="AO755" s="13"/>
      <c r="AP755" s="13"/>
    </row>
    <row r="756" spans="1:42" ht="60.75" thickBot="1">
      <c r="A756" s="586"/>
      <c r="B756" s="1164" t="s">
        <v>10</v>
      </c>
      <c r="C756" s="1165" t="s">
        <v>11</v>
      </c>
      <c r="D756" s="1166" t="s">
        <v>12</v>
      </c>
      <c r="E756" s="1166" t="s">
        <v>13</v>
      </c>
      <c r="F756" s="590" t="s">
        <v>14</v>
      </c>
      <c r="G756" s="1464" t="s">
        <v>15</v>
      </c>
      <c r="H756" s="592" t="s">
        <v>1090</v>
      </c>
      <c r="I756" s="592">
        <f>$C$18</f>
        <v>0.51</v>
      </c>
      <c r="J756" s="634">
        <f>$C$18</f>
        <v>0.51</v>
      </c>
      <c r="Q756" s="875" t="s">
        <v>1093</v>
      </c>
      <c r="R756" s="876" t="s">
        <v>1094</v>
      </c>
      <c r="S756" s="1126" t="s">
        <v>1095</v>
      </c>
      <c r="T756" s="1220" t="s">
        <v>1095</v>
      </c>
      <c r="U756" s="204" t="s">
        <v>1096</v>
      </c>
      <c r="V756" s="205" t="s">
        <v>1093</v>
      </c>
      <c r="W756" s="206" t="s">
        <v>1094</v>
      </c>
      <c r="X756" s="207" t="s">
        <v>1097</v>
      </c>
      <c r="Y756" s="208">
        <f>$X$748</f>
        <v>0.54</v>
      </c>
      <c r="Z756" s="207" t="s">
        <v>1098</v>
      </c>
      <c r="AA756" s="209" t="s">
        <v>1099</v>
      </c>
      <c r="AB756" s="209" t="s">
        <v>1100</v>
      </c>
      <c r="AC756" s="210" t="s">
        <v>1300</v>
      </c>
      <c r="AD756" s="211" t="s">
        <v>1101</v>
      </c>
      <c r="AE756" s="209" t="s">
        <v>1102</v>
      </c>
      <c r="AF756" s="208" t="s">
        <v>1103</v>
      </c>
      <c r="AG756" s="1867" t="s">
        <v>1104</v>
      </c>
      <c r="AH756" s="213" t="s">
        <v>1116</v>
      </c>
      <c r="AI756" s="220" t="s">
        <v>1106</v>
      </c>
      <c r="AJ756" s="483" t="s">
        <v>1107</v>
      </c>
      <c r="AK756" s="484" t="s">
        <v>1108</v>
      </c>
      <c r="AL756" s="221" t="s">
        <v>1109</v>
      </c>
      <c r="AM756" s="221" t="s">
        <v>1175</v>
      </c>
      <c r="AN756" s="221" t="s">
        <v>1176</v>
      </c>
      <c r="AO756" s="13"/>
      <c r="AP756" s="13"/>
    </row>
    <row r="757" spans="1:42">
      <c r="A757" s="586"/>
      <c r="B757" s="1167" t="s">
        <v>582</v>
      </c>
      <c r="C757" s="1168" t="s">
        <v>190</v>
      </c>
      <c r="D757" s="1169">
        <v>380</v>
      </c>
      <c r="E757" s="1170">
        <v>1</v>
      </c>
      <c r="F757" s="1193">
        <v>40</v>
      </c>
      <c r="G757" s="1254">
        <v>170</v>
      </c>
      <c r="H757" s="1222">
        <f>G757*(1+$H$33)</f>
        <v>181.9</v>
      </c>
      <c r="I757" s="1222">
        <f>H757-H757*$J$751</f>
        <v>89.131</v>
      </c>
      <c r="J757" s="1255">
        <f>G757-G757*$J$751</f>
        <v>83.3</v>
      </c>
      <c r="Q757" s="336">
        <v>1.9670181994325653</v>
      </c>
      <c r="R757" s="382">
        <f>Q757*$R$33</f>
        <v>92.514766973911847</v>
      </c>
      <c r="S757" s="918">
        <f>((J757-R757)/J757)*100%</f>
        <v>-0.11062145226784934</v>
      </c>
      <c r="T757" s="1227">
        <f>((I757-R757)/I757)*100%</f>
        <v>-3.7963974082102149E-2</v>
      </c>
      <c r="U757" s="238">
        <v>1.2869999999999999</v>
      </c>
      <c r="V757" s="239">
        <f>U757*$U$747</f>
        <v>1.821105</v>
      </c>
      <c r="W757" s="239">
        <f>V757*$R$33</f>
        <v>85.652031465000007</v>
      </c>
      <c r="X757" s="240">
        <f>(ROUND(W757/(1-$AA$755),0))</f>
        <v>103</v>
      </c>
      <c r="Y757" s="239">
        <f>Z757*(1-$X$748)</f>
        <v>96.6</v>
      </c>
      <c r="Z757" s="240">
        <f>ROUND(X757/(1-$X$747),0)</f>
        <v>210</v>
      </c>
      <c r="AA757" s="241">
        <f>((X757-W757)/X757)*100%</f>
        <v>0.16842687898058245</v>
      </c>
      <c r="AB757" s="241">
        <f>((Y757-W757)/Y757)*100%</f>
        <v>0.11333300760869552</v>
      </c>
      <c r="AC757" s="265">
        <f>((Y757/I757)-1)*100%</f>
        <v>8.3798005183381763E-2</v>
      </c>
      <c r="AD757" s="1004"/>
      <c r="AE757" s="238">
        <f>N757/$R$33</f>
        <v>0</v>
      </c>
      <c r="AF757" s="239">
        <f>(V757/(1-$AA$755))</f>
        <v>2.1941024096385542</v>
      </c>
      <c r="AG757" s="1886">
        <v>4.4800000000000004</v>
      </c>
      <c r="AH757" s="244">
        <f>((AF757-V757)/AF757)*100%</f>
        <v>0.17</v>
      </c>
      <c r="AI757" s="866">
        <f>AJ757/$AJ$759</f>
        <v>0.55955523371253713</v>
      </c>
      <c r="AJ757" s="338">
        <f>[1]Статистика!D99</f>
        <v>47908</v>
      </c>
      <c r="AK757" s="865">
        <f>Q757*S757*AJ757</f>
        <v>-10424.512987501999</v>
      </c>
      <c r="AL757" s="866">
        <f>AK757/$AK$759</f>
        <v>0.5602355297177547</v>
      </c>
      <c r="AM757" s="92">
        <f>AJ757/$AJ$766</f>
        <v>0.14843871031709147</v>
      </c>
      <c r="AN757" s="92">
        <f>AK757/$AK$766</f>
        <v>0.24800916463380213</v>
      </c>
      <c r="AO757" s="13"/>
      <c r="AP757" s="13"/>
    </row>
    <row r="758" spans="1:42" ht="15.75" thickBot="1">
      <c r="A758" s="586"/>
      <c r="B758" s="1171" t="s">
        <v>583</v>
      </c>
      <c r="C758" s="1172" t="s">
        <v>192</v>
      </c>
      <c r="D758" s="1173">
        <v>380</v>
      </c>
      <c r="E758" s="1174">
        <v>1</v>
      </c>
      <c r="F758" s="1206">
        <v>40</v>
      </c>
      <c r="G758" s="1256">
        <v>190</v>
      </c>
      <c r="H758" s="1158">
        <f>G758*(1+$H$33)</f>
        <v>203.3</v>
      </c>
      <c r="I758" s="1158">
        <f>H758-H758*$J$751</f>
        <v>99.617000000000004</v>
      </c>
      <c r="J758" s="1465">
        <f>G758-G758*$J$751</f>
        <v>93.1</v>
      </c>
      <c r="Q758" s="331">
        <v>2.1767853295236312</v>
      </c>
      <c r="R758" s="382">
        <f>Q758*$R$33</f>
        <v>102.38074440348495</v>
      </c>
      <c r="S758" s="918">
        <f>((J758-R758)/J758)*100%</f>
        <v>-9.9685761584156388E-2</v>
      </c>
      <c r="T758" s="1234">
        <f>((I758-R758)/I758)*100%</f>
        <v>-2.7743702415099325E-2</v>
      </c>
      <c r="U758" s="288">
        <v>1.4059999999999999</v>
      </c>
      <c r="V758" s="291">
        <f>U758*$U$747</f>
        <v>1.98949</v>
      </c>
      <c r="W758" s="239">
        <f>V758*$R$33</f>
        <v>93.57168317</v>
      </c>
      <c r="X758" s="240">
        <f>(ROUND(W758/(1-$AA$755),0))</f>
        <v>113</v>
      </c>
      <c r="Y758" s="239">
        <f>Z758*(1-$X$748)</f>
        <v>106.25999999999999</v>
      </c>
      <c r="Z758" s="240">
        <f>ROUND(X758/(1-$X$747),0)</f>
        <v>231</v>
      </c>
      <c r="AA758" s="241">
        <f>((X758-W758)/X758)*100%</f>
        <v>0.17193200734513275</v>
      </c>
      <c r="AB758" s="241">
        <f>((Y758-W758)/Y758)*100%</f>
        <v>0.11940821409749663</v>
      </c>
      <c r="AC758" s="265">
        <f>((Y758/I758)-1)*100%</f>
        <v>6.6685405101538864E-2</v>
      </c>
      <c r="AD758" s="1004"/>
      <c r="AE758" s="238">
        <f>N758/$R$33</f>
        <v>0</v>
      </c>
      <c r="AF758" s="239">
        <f>(V758/(1-$AA$755))</f>
        <v>2.3969759036144578</v>
      </c>
      <c r="AG758" s="1886">
        <v>4.8899999999999997</v>
      </c>
      <c r="AH758" s="244">
        <f>((AF758-V758)/AF758)*100%</f>
        <v>0.16999999999999998</v>
      </c>
      <c r="AI758" s="506">
        <f>AJ758/$AJ$759</f>
        <v>0.44044476628746293</v>
      </c>
      <c r="AJ758" s="333">
        <f>[1]Статистика!D100</f>
        <v>37710</v>
      </c>
      <c r="AK758" s="859">
        <f>Q758*S758*AJ758</f>
        <v>-8182.86272241387</v>
      </c>
      <c r="AL758" s="506">
        <f>AK758/$AK$759</f>
        <v>0.4397644702822453</v>
      </c>
      <c r="AM758" s="77">
        <f>AJ758/$AJ$766</f>
        <v>0.11684110724842446</v>
      </c>
      <c r="AN758" s="77">
        <f>AK758/$AK$766</f>
        <v>0.19467815432068925</v>
      </c>
      <c r="AO758" s="13"/>
      <c r="AP758" s="13"/>
    </row>
    <row r="759" spans="1:42" ht="15.75" thickBot="1">
      <c r="A759" s="187"/>
      <c r="B759" s="17"/>
      <c r="C759" s="620"/>
      <c r="D759" s="187"/>
      <c r="E759" s="187"/>
      <c r="G759" s="187"/>
      <c r="J759" s="622"/>
      <c r="S759" s="364"/>
      <c r="T759" s="365"/>
      <c r="U759" s="366"/>
      <c r="V759" s="366"/>
      <c r="W759" s="366"/>
      <c r="X759" s="366"/>
      <c r="Y759" s="366"/>
      <c r="Z759" s="366"/>
      <c r="AA759" s="367"/>
      <c r="AB759" s="367"/>
      <c r="AC759" s="367"/>
      <c r="AD759" s="367"/>
      <c r="AE759" s="366"/>
      <c r="AF759" s="366"/>
      <c r="AG759" s="1872"/>
      <c r="AH759" s="367"/>
      <c r="AI759" s="512">
        <f>S757*AI757+S758*AI758</f>
        <v>-0.10580488454047821</v>
      </c>
      <c r="AJ759" s="513">
        <f>SUM(AJ757:AJ758)</f>
        <v>85618</v>
      </c>
      <c r="AK759" s="514">
        <f>SUM(AK757:AK758)</f>
        <v>-18607.375709915868</v>
      </c>
      <c r="AM759" s="307">
        <f>SUM(AM757:AM758)</f>
        <v>0.26527981756551594</v>
      </c>
      <c r="AN759" s="307">
        <f>SUM(AN757:AN758)</f>
        <v>0.44268731895449137</v>
      </c>
      <c r="AO759" s="13"/>
      <c r="AP759" s="13"/>
    </row>
    <row r="760" spans="1:42" ht="15.75" thickBot="1">
      <c r="A760" s="149" t="s">
        <v>124</v>
      </c>
      <c r="B760" s="187"/>
      <c r="C760" s="798" t="s">
        <v>125</v>
      </c>
      <c r="D760" s="187"/>
      <c r="E760" s="187"/>
      <c r="G760" s="187"/>
      <c r="J760" s="622"/>
      <c r="T760" s="1851"/>
      <c r="U760" s="627"/>
      <c r="V760" s="627"/>
      <c r="W760" s="627"/>
      <c r="X760" s="627"/>
      <c r="Y760" s="627"/>
      <c r="Z760" s="627"/>
      <c r="AA760" s="614">
        <v>0.25</v>
      </c>
      <c r="AB760" s="628">
        <v>0.28000000000000003</v>
      </c>
      <c r="AC760" s="628"/>
      <c r="AD760" s="1851"/>
      <c r="AE760" s="188"/>
      <c r="AF760" s="188"/>
      <c r="AG760" s="1866"/>
      <c r="AH760" s="1851"/>
      <c r="AO760" s="13"/>
      <c r="AP760" s="13"/>
    </row>
    <row r="761" spans="1:42" ht="60.75" thickBot="1">
      <c r="A761" s="187"/>
      <c r="B761" s="799" t="s">
        <v>10</v>
      </c>
      <c r="C761" s="800" t="s">
        <v>11</v>
      </c>
      <c r="D761" s="801" t="s">
        <v>12</v>
      </c>
      <c r="E761" s="801" t="s">
        <v>13</v>
      </c>
      <c r="F761" s="190" t="s">
        <v>14</v>
      </c>
      <c r="G761" s="1466" t="s">
        <v>15</v>
      </c>
      <c r="H761" s="1083" t="s">
        <v>1090</v>
      </c>
      <c r="I761" s="1093">
        <f>$C$18</f>
        <v>0.51</v>
      </c>
      <c r="J761" s="1467">
        <f>$C$18</f>
        <v>0.51</v>
      </c>
      <c r="Q761" s="875" t="s">
        <v>1093</v>
      </c>
      <c r="R761" s="876" t="s">
        <v>1094</v>
      </c>
      <c r="S761" s="1126" t="s">
        <v>1095</v>
      </c>
      <c r="T761" s="1220" t="s">
        <v>1095</v>
      </c>
      <c r="U761" s="204" t="s">
        <v>1096</v>
      </c>
      <c r="V761" s="205" t="s">
        <v>1093</v>
      </c>
      <c r="W761" s="206" t="s">
        <v>1094</v>
      </c>
      <c r="X761" s="207" t="s">
        <v>1097</v>
      </c>
      <c r="Y761" s="208">
        <f>$X$748</f>
        <v>0.54</v>
      </c>
      <c r="Z761" s="207" t="s">
        <v>1098</v>
      </c>
      <c r="AA761" s="209" t="s">
        <v>1099</v>
      </c>
      <c r="AB761" s="209" t="s">
        <v>1100</v>
      </c>
      <c r="AC761" s="210" t="s">
        <v>1300</v>
      </c>
      <c r="AD761" s="211" t="s">
        <v>1101</v>
      </c>
      <c r="AE761" s="209" t="s">
        <v>1102</v>
      </c>
      <c r="AF761" s="208" t="s">
        <v>1103</v>
      </c>
      <c r="AG761" s="1867" t="s">
        <v>1104</v>
      </c>
      <c r="AH761" s="213" t="s">
        <v>1116</v>
      </c>
      <c r="AI761" s="220" t="s">
        <v>1106</v>
      </c>
      <c r="AJ761" s="483" t="s">
        <v>1107</v>
      </c>
      <c r="AK761" s="484" t="s">
        <v>1108</v>
      </c>
      <c r="AL761" s="221" t="s">
        <v>1109</v>
      </c>
      <c r="AM761" s="221" t="s">
        <v>1175</v>
      </c>
      <c r="AN761" s="221" t="s">
        <v>1176</v>
      </c>
      <c r="AO761" s="13"/>
      <c r="AP761" s="13"/>
    </row>
    <row r="762" spans="1:42">
      <c r="A762" s="271"/>
      <c r="B762" s="1457" t="s">
        <v>373</v>
      </c>
      <c r="C762" s="1099" t="s">
        <v>190</v>
      </c>
      <c r="D762" s="1100">
        <v>300</v>
      </c>
      <c r="E762" s="1101">
        <v>1</v>
      </c>
      <c r="F762" s="224">
        <v>50</v>
      </c>
      <c r="G762" s="1458">
        <v>160</v>
      </c>
      <c r="H762" s="504">
        <f>G762*(1+$H$33)</f>
        <v>171.20000000000002</v>
      </c>
      <c r="I762" s="504">
        <f>H762-H762*$J$751</f>
        <v>83.888000000000005</v>
      </c>
      <c r="J762" s="1468">
        <f>G762-G762*$J$751</f>
        <v>78.400000000000006</v>
      </c>
      <c r="Q762" s="336">
        <v>1.5324509932043913</v>
      </c>
      <c r="R762" s="382">
        <f>Q762*$R$33</f>
        <v>72.075767563382129</v>
      </c>
      <c r="S762" s="918">
        <f>((J762-R762)/J762)*100%</f>
        <v>8.0666230058901472E-2</v>
      </c>
      <c r="T762" s="1227">
        <f>((I762-R762)/I762)*100%</f>
        <v>0.14080956080271165</v>
      </c>
      <c r="U762" s="238">
        <v>1.03</v>
      </c>
      <c r="V762" s="239">
        <f>U762*$U$747</f>
        <v>1.4574500000000001</v>
      </c>
      <c r="W762" s="239">
        <f>V762*$R$33</f>
        <v>68.548245850000015</v>
      </c>
      <c r="X762" s="240">
        <f>(ROUND(W762/(1-$AA$760),0))</f>
        <v>91</v>
      </c>
      <c r="Y762" s="239">
        <f>Z762*(1-$X$748)</f>
        <v>85.559999999999988</v>
      </c>
      <c r="Z762" s="240">
        <f>ROUND(X762/(1-$X$747),0)</f>
        <v>186</v>
      </c>
      <c r="AA762" s="241">
        <f>((X762-W762)/X762)*100%</f>
        <v>0.24672257307692291</v>
      </c>
      <c r="AB762" s="241">
        <f>((Y762-W762)/Y762)*100%</f>
        <v>0.1988283561243569</v>
      </c>
      <c r="AC762" s="265">
        <f>((Y762/I762)-1)*100%</f>
        <v>1.9931337020789419E-2</v>
      </c>
      <c r="AD762" s="1004"/>
      <c r="AE762" s="238">
        <f>N762/$R$33</f>
        <v>0</v>
      </c>
      <c r="AF762" s="239">
        <f>(V762/(1-$AA$760))</f>
        <v>1.9432666666666669</v>
      </c>
      <c r="AG762" s="1868">
        <v>3.5</v>
      </c>
      <c r="AH762" s="244">
        <f>((AF762-V762)/AF762)*100%</f>
        <v>0.25000000000000006</v>
      </c>
      <c r="AI762" s="866">
        <f>AJ762/$AJ$764</f>
        <v>0.57145291571521084</v>
      </c>
      <c r="AJ762" s="338">
        <f>[1]Статистика!D101</f>
        <v>50301</v>
      </c>
      <c r="AK762" s="865">
        <f>Q762*S762*AJ762</f>
        <v>6218.0609489467915</v>
      </c>
      <c r="AL762" s="866">
        <f>AK762/$AK$764</f>
        <v>0.58011960925698758</v>
      </c>
      <c r="AM762" s="92">
        <f>AJ762/$AJ$766</f>
        <v>0.15585320964473612</v>
      </c>
      <c r="AN762" s="92">
        <f>AK762/$AK$766</f>
        <v>-0.14793363521530792</v>
      </c>
      <c r="AO762" s="13"/>
      <c r="AP762" s="13"/>
    </row>
    <row r="763" spans="1:42" ht="15.75" thickBot="1">
      <c r="A763" s="187"/>
      <c r="B763" s="1460" t="s">
        <v>374</v>
      </c>
      <c r="C763" s="789" t="s">
        <v>192</v>
      </c>
      <c r="D763" s="790">
        <v>300</v>
      </c>
      <c r="E763" s="791">
        <v>1</v>
      </c>
      <c r="F763" s="276">
        <v>50</v>
      </c>
      <c r="G763" s="1461">
        <v>180</v>
      </c>
      <c r="H763" s="360">
        <f>G763*(1+$H$33)</f>
        <v>192.60000000000002</v>
      </c>
      <c r="I763" s="360">
        <f>H763-H763*$J$751</f>
        <v>94.374000000000009</v>
      </c>
      <c r="J763" s="1462">
        <f>G763-G763*$J$751</f>
        <v>88.2</v>
      </c>
      <c r="Q763" s="331">
        <v>1.7472275360366429</v>
      </c>
      <c r="R763" s="382">
        <f>Q763*$R$33</f>
        <v>82.177352702411426</v>
      </c>
      <c r="S763" s="918">
        <f>((J763-R763)/J763)*100%</f>
        <v>6.8283982965856874E-2</v>
      </c>
      <c r="T763" s="1234">
        <f>((I763-R763)/I763)*100%</f>
        <v>0.12923736725781024</v>
      </c>
      <c r="U763" s="288">
        <v>1.119</v>
      </c>
      <c r="V763" s="291">
        <f>U763*$U$747</f>
        <v>1.583385</v>
      </c>
      <c r="W763" s="239">
        <f>V763*$R$33</f>
        <v>74.471346705000002</v>
      </c>
      <c r="X763" s="240">
        <f>(ROUND(W763/(1-$AB$760),0))</f>
        <v>103</v>
      </c>
      <c r="Y763" s="239">
        <f>Z763*(1-$X$748)</f>
        <v>96.6</v>
      </c>
      <c r="Z763" s="240">
        <f>ROUND(X763/(1-$X$747),0)</f>
        <v>210</v>
      </c>
      <c r="AA763" s="241">
        <f>((X763-W763)/X763)*100%</f>
        <v>0.27697721645631068</v>
      </c>
      <c r="AB763" s="241">
        <f>((Y763-W763)/Y763)*100%</f>
        <v>0.22907508586956515</v>
      </c>
      <c r="AC763" s="265">
        <f>((Y763/I763)-1)*100%</f>
        <v>2.3587004895415875E-2</v>
      </c>
      <c r="AD763" s="1004"/>
      <c r="AE763" s="238">
        <f>N763/$R$33</f>
        <v>0</v>
      </c>
      <c r="AF763" s="239">
        <f>(V763/(1-$AB$760))</f>
        <v>2.1991458333333336</v>
      </c>
      <c r="AG763" s="1868">
        <v>4</v>
      </c>
      <c r="AH763" s="244">
        <f>((AF763-V763)/AF763)*100%</f>
        <v>0.28000000000000008</v>
      </c>
      <c r="AI763" s="506">
        <f>AJ763/$AJ$764</f>
        <v>0.42854708428478921</v>
      </c>
      <c r="AJ763" s="333">
        <f>[1]Статистика!D102</f>
        <v>37722</v>
      </c>
      <c r="AK763" s="859">
        <f>Q763*S763*AJ763</f>
        <v>4500.5233735360034</v>
      </c>
      <c r="AL763" s="506">
        <f>AK763/$AK$764</f>
        <v>0.41988039074301248</v>
      </c>
      <c r="AM763" s="77">
        <f>AJ763/$AJ$766</f>
        <v>0.11687828818947407</v>
      </c>
      <c r="AN763" s="77">
        <f>AK763/$AK$766</f>
        <v>-0.1070717685923312</v>
      </c>
      <c r="AO763" s="13"/>
      <c r="AP763" s="13"/>
    </row>
    <row r="764" spans="1:42" ht="15.75" thickBot="1">
      <c r="A764" s="187"/>
      <c r="B764" s="17"/>
      <c r="C764" s="620"/>
      <c r="D764" s="187"/>
      <c r="E764" s="187"/>
      <c r="G764" s="187"/>
      <c r="J764" s="622"/>
      <c r="S764" s="364"/>
      <c r="T764" s="365"/>
      <c r="U764" s="366"/>
      <c r="V764" s="366"/>
      <c r="W764" s="366"/>
      <c r="X764" s="366"/>
      <c r="Y764" s="366"/>
      <c r="Z764" s="366"/>
      <c r="AA764" s="367"/>
      <c r="AB764" s="367"/>
      <c r="AC764" s="367"/>
      <c r="AD764" s="367"/>
      <c r="AE764" s="366"/>
      <c r="AF764" s="366"/>
      <c r="AG764" s="1872"/>
      <c r="AH764" s="367"/>
      <c r="AI764" s="512">
        <f>S762*AI762+S763*AI763</f>
        <v>7.5359854170283402E-2</v>
      </c>
      <c r="AJ764" s="513">
        <f>SUM(AJ762:AJ763)</f>
        <v>88023</v>
      </c>
      <c r="AK764" s="514">
        <f>SUM(AK762:AK763)</f>
        <v>10718.584322482795</v>
      </c>
      <c r="AM764" s="307">
        <f>SUM(AM762:AM763)</f>
        <v>0.27273149783421019</v>
      </c>
      <c r="AN764" s="307">
        <f>SUM(AN762:AN763)</f>
        <v>-0.25500540380763914</v>
      </c>
      <c r="AO764" s="13"/>
      <c r="AP764" s="13"/>
    </row>
    <row r="765" spans="1:42" ht="30" customHeight="1" thickBot="1">
      <c r="A765" s="187"/>
      <c r="B765" s="17"/>
      <c r="C765" s="620"/>
      <c r="D765" s="187"/>
      <c r="E765" s="187"/>
      <c r="G765" s="187"/>
      <c r="J765" s="622"/>
      <c r="Q765" s="1856" t="s">
        <v>1133</v>
      </c>
      <c r="R765" s="830">
        <f>AVERAGE(S752:S753,S757:S758,S762:S763)</f>
        <v>-4.3454925062567679E-2</v>
      </c>
      <c r="S765" s="525">
        <f>AVERAGE(T752:T753,T757:T758,T762:T763)</f>
        <v>2.4808481249936828E-2</v>
      </c>
      <c r="T765" s="364"/>
      <c r="U765" s="2350" t="s">
        <v>1336</v>
      </c>
      <c r="V765" s="2331"/>
      <c r="W765" s="2331"/>
      <c r="X765" s="2331"/>
      <c r="Y765" s="2331"/>
      <c r="Z765" s="2351"/>
      <c r="AA765" s="1144">
        <f>AVERAGE(AA752:AA753,AA757:AA758,AA762:AA763)</f>
        <v>0.20457554958489896</v>
      </c>
      <c r="AB765" s="1144">
        <f>AVERAGE(AB752:AB753,AB757:AB758,AB762:AB763)</f>
        <v>0.15301145605012445</v>
      </c>
      <c r="AC765" s="1144">
        <f>AVERAGE(AC752:AC753,AC757:AC758,AC762:AC763)</f>
        <v>5.7567254292624104E-2</v>
      </c>
      <c r="AD765" s="1144"/>
      <c r="AE765" s="1145"/>
      <c r="AF765" s="1145"/>
      <c r="AG765" s="1891"/>
      <c r="AH765" s="1146">
        <f>AVERAGE(AH752:AH753,AH757:AH758,AH762:AH763)</f>
        <v>0.20499999999999999</v>
      </c>
      <c r="AI765" s="2335" t="s">
        <v>1337</v>
      </c>
      <c r="AJ765" s="2336"/>
      <c r="AK765" s="2336"/>
      <c r="AL765" s="2336"/>
      <c r="AM765" s="2336"/>
      <c r="AN765" s="2337"/>
      <c r="AO765" s="13"/>
      <c r="AP765" s="13"/>
    </row>
    <row r="766" spans="1:42" ht="18.75">
      <c r="A766" s="146" t="s">
        <v>742</v>
      </c>
      <c r="B766" s="948"/>
      <c r="C766" s="618"/>
      <c r="D766" s="948"/>
      <c r="E766" s="187"/>
      <c r="F766" s="1469"/>
      <c r="G766" s="187"/>
      <c r="J766" s="622"/>
      <c r="W766" s="1026" t="s">
        <v>1251</v>
      </c>
      <c r="X766" s="1026">
        <f>$C$19</f>
        <v>0.52</v>
      </c>
      <c r="AI766" s="838">
        <f>AVERAGE(AI754,AI759,AI764)</f>
        <v>-4.3779834458930016E-2</v>
      </c>
      <c r="AJ766" s="839">
        <f>SUM(AJ754,AJ759,AJ764)</f>
        <v>322746</v>
      </c>
      <c r="AK766" s="840">
        <f>SUM(AK754,AK759,AK764)</f>
        <v>-42032.773276319494</v>
      </c>
      <c r="AL766" s="841"/>
      <c r="AM766" s="842">
        <f>SUM(AM754,AM759,AM764)</f>
        <v>1</v>
      </c>
      <c r="AN766" s="842">
        <f>SUM(AN754,AN759,AN764)</f>
        <v>1</v>
      </c>
      <c r="AO766" s="13"/>
      <c r="AP766" s="13"/>
    </row>
    <row r="767" spans="1:42" ht="18.75">
      <c r="A767" s="834"/>
      <c r="B767" s="948"/>
      <c r="C767" s="1470"/>
      <c r="D767" s="948"/>
      <c r="E767" s="187"/>
      <c r="G767" s="187"/>
      <c r="J767" s="622"/>
      <c r="W767" s="1026" t="s">
        <v>1252</v>
      </c>
      <c r="X767" s="1026">
        <v>0.56999999999999995</v>
      </c>
      <c r="AO767" s="13"/>
      <c r="AP767" s="13"/>
    </row>
    <row r="768" spans="1:42">
      <c r="A768" s="149" t="s">
        <v>772</v>
      </c>
      <c r="B768" s="187"/>
      <c r="C768" s="620"/>
      <c r="D768" s="187"/>
      <c r="E768" s="187"/>
      <c r="G768" s="187"/>
      <c r="J768" s="622"/>
      <c r="AO768" s="13"/>
      <c r="AP768" s="13"/>
    </row>
    <row r="769" spans="1:42" ht="15.75" thickBot="1">
      <c r="A769" s="187"/>
      <c r="B769" s="530"/>
      <c r="C769" s="1161" t="s">
        <v>584</v>
      </c>
      <c r="D769" s="586"/>
      <c r="E769" s="586"/>
      <c r="F769" s="540"/>
      <c r="G769" s="586"/>
      <c r="H769" s="530"/>
      <c r="I769" s="587"/>
      <c r="J769" s="622"/>
      <c r="T769" s="1851"/>
      <c r="U769" s="627"/>
      <c r="V769" s="627"/>
      <c r="W769" s="627"/>
      <c r="X769" s="627"/>
      <c r="Y769" s="627"/>
      <c r="Z769" s="627"/>
      <c r="AA769" s="614">
        <v>0.3</v>
      </c>
      <c r="AB769" s="628"/>
      <c r="AC769" s="628"/>
      <c r="AD769" s="1851"/>
      <c r="AE769" s="188"/>
      <c r="AF769" s="188"/>
      <c r="AG769" s="1866"/>
      <c r="AH769" s="1851"/>
      <c r="AO769" s="13"/>
      <c r="AP769" s="13"/>
    </row>
    <row r="770" spans="1:42" ht="36.75" thickBot="1">
      <c r="A770" s="187"/>
      <c r="B770" s="1164" t="s">
        <v>10</v>
      </c>
      <c r="C770" s="1165" t="s">
        <v>11</v>
      </c>
      <c r="D770" s="1166" t="s">
        <v>12</v>
      </c>
      <c r="E770" s="1166" t="s">
        <v>13</v>
      </c>
      <c r="F770" s="590" t="s">
        <v>14</v>
      </c>
      <c r="G770" s="1464" t="s">
        <v>15</v>
      </c>
      <c r="H770" s="592" t="s">
        <v>1090</v>
      </c>
      <c r="I770" s="546">
        <f>$C$19</f>
        <v>0.52</v>
      </c>
      <c r="J770" s="787">
        <f>$C$19</f>
        <v>0.52</v>
      </c>
      <c r="Q770" s="875" t="s">
        <v>1093</v>
      </c>
      <c r="R770" s="876" t="s">
        <v>1094</v>
      </c>
      <c r="S770" s="1264" t="s">
        <v>1095</v>
      </c>
      <c r="T770" s="1220" t="s">
        <v>1095</v>
      </c>
      <c r="U770" s="204" t="s">
        <v>1096</v>
      </c>
      <c r="V770" s="205" t="s">
        <v>1093</v>
      </c>
      <c r="W770" s="206" t="s">
        <v>1094</v>
      </c>
      <c r="X770" s="207" t="s">
        <v>1097</v>
      </c>
      <c r="Y770" s="208">
        <f>$X$767</f>
        <v>0.56999999999999995</v>
      </c>
      <c r="Z770" s="207" t="s">
        <v>1098</v>
      </c>
      <c r="AA770" s="209" t="s">
        <v>1099</v>
      </c>
      <c r="AB770" s="209" t="s">
        <v>1100</v>
      </c>
      <c r="AC770" s="210" t="s">
        <v>1300</v>
      </c>
      <c r="AD770" s="211" t="s">
        <v>1101</v>
      </c>
      <c r="AE770" s="209" t="s">
        <v>1102</v>
      </c>
      <c r="AF770" s="208" t="s">
        <v>1103</v>
      </c>
      <c r="AG770" s="1867" t="s">
        <v>1104</v>
      </c>
      <c r="AH770" s="213" t="s">
        <v>1116</v>
      </c>
      <c r="AJ770" s="483" t="s">
        <v>1107</v>
      </c>
      <c r="AK770" s="484" t="s">
        <v>1108</v>
      </c>
      <c r="AM770" s="219" t="s">
        <v>1175</v>
      </c>
      <c r="AN770" s="219" t="s">
        <v>1176</v>
      </c>
      <c r="AO770" s="13"/>
      <c r="AP770" s="13"/>
    </row>
    <row r="771" spans="1:42" ht="15.75" thickBot="1">
      <c r="A771" s="187"/>
      <c r="B771" s="1471" t="s">
        <v>585</v>
      </c>
      <c r="C771" s="1472" t="s">
        <v>586</v>
      </c>
      <c r="D771" s="1473">
        <v>160</v>
      </c>
      <c r="E771" s="1474">
        <v>2</v>
      </c>
      <c r="F771" s="1475">
        <v>80</v>
      </c>
      <c r="G771" s="1476">
        <v>55</v>
      </c>
      <c r="H771" s="1477">
        <f>G771*(1+$H$33)</f>
        <v>58.85</v>
      </c>
      <c r="I771" s="1477">
        <f>H771-H771*$J$770</f>
        <v>28.248000000000001</v>
      </c>
      <c r="J771" s="793">
        <f>G771-G771*$J$770</f>
        <v>26.4</v>
      </c>
      <c r="Q771" s="336">
        <v>0.4566225791213982</v>
      </c>
      <c r="R771" s="382">
        <f>Q771*$R$33</f>
        <v>21.476329763816722</v>
      </c>
      <c r="S771" s="383">
        <f>((J771-R771)/J771)*100%</f>
        <v>0.18650266046148778</v>
      </c>
      <c r="T771" s="1227">
        <f>((I771-R771)/I771)*100%</f>
        <v>0.23972211258082976</v>
      </c>
      <c r="U771" s="238">
        <v>0.31</v>
      </c>
      <c r="V771" s="239">
        <f>U771*$U$747</f>
        <v>0.43864999999999998</v>
      </c>
      <c r="W771" s="239">
        <f>V771*$R$33</f>
        <v>20.631025449999999</v>
      </c>
      <c r="X771" s="240">
        <f>(ROUND(W771/(1-$AA$769),4))</f>
        <v>29.472899999999999</v>
      </c>
      <c r="Y771" s="239">
        <f>Z771*(1-$X$767)</f>
        <v>26.402817000000002</v>
      </c>
      <c r="Z771" s="240">
        <f>ROUND(X771/(1-$X$766),4)</f>
        <v>61.401899999999998</v>
      </c>
      <c r="AA771" s="241">
        <f>((X771-W771)/X771)*100%</f>
        <v>0.3000001543791076</v>
      </c>
      <c r="AB771" s="241">
        <f>((Y771-W771)/Y771)*100%</f>
        <v>0.21860514164075759</v>
      </c>
      <c r="AC771" s="265">
        <f>((Y771/I771)-1)*100%</f>
        <v>-6.5320836873406951E-2</v>
      </c>
      <c r="AD771" s="1004"/>
      <c r="AE771" s="238">
        <f>N771/$R$33</f>
        <v>0</v>
      </c>
      <c r="AF771" s="239">
        <f>(V771/(1-$AA$769))</f>
        <v>0.62664285714285717</v>
      </c>
      <c r="AG771" s="1868">
        <v>1.3</v>
      </c>
      <c r="AH771" s="244">
        <f>((AF771-V771)/AF771)*100%</f>
        <v>0.30000000000000004</v>
      </c>
      <c r="AI771" s="1478"/>
      <c r="AJ771" s="1396">
        <f>[1]Статистика!D103</f>
        <v>27760</v>
      </c>
      <c r="AK771" s="1479">
        <f>AJ771*Q771*S771</f>
        <v>2364.0784051220526</v>
      </c>
      <c r="AL771" s="1478"/>
      <c r="AM771" s="499">
        <f>AJ771/$AJ$816</f>
        <v>0.16148172278195314</v>
      </c>
      <c r="AN771" s="499">
        <f>AK771/$AK$816</f>
        <v>1.0275374032295885</v>
      </c>
      <c r="AO771" s="13"/>
      <c r="AP771" s="13"/>
    </row>
    <row r="772" spans="1:42">
      <c r="A772" s="187"/>
      <c r="B772" s="586"/>
      <c r="C772" s="1163"/>
      <c r="D772" s="586"/>
      <c r="E772" s="586"/>
      <c r="F772" s="540"/>
      <c r="G772" s="586"/>
      <c r="H772" s="530"/>
      <c r="I772" s="587"/>
      <c r="J772" s="622"/>
      <c r="AO772" s="13"/>
      <c r="AP772" s="13"/>
    </row>
    <row r="773" spans="1:42">
      <c r="A773" s="187"/>
      <c r="B773" s="586"/>
      <c r="C773" s="1163"/>
      <c r="D773" s="586"/>
      <c r="E773" s="586"/>
      <c r="F773" s="540"/>
      <c r="G773" s="586"/>
      <c r="H773" s="530"/>
      <c r="I773" s="587"/>
      <c r="J773" s="622"/>
      <c r="AO773" s="13"/>
      <c r="AP773" s="13"/>
    </row>
    <row r="774" spans="1:42" ht="15.75" thickBot="1">
      <c r="A774" s="149" t="s">
        <v>587</v>
      </c>
      <c r="B774" s="530"/>
      <c r="C774" s="1161" t="s">
        <v>770</v>
      </c>
      <c r="D774" s="586"/>
      <c r="E774" s="586"/>
      <c r="F774" s="540"/>
      <c r="G774" s="586"/>
      <c r="H774" s="530"/>
      <c r="I774" s="587"/>
      <c r="J774" s="622"/>
      <c r="T774" s="1851"/>
      <c r="U774" s="627"/>
      <c r="V774" s="627"/>
      <c r="W774" s="627"/>
      <c r="X774" s="627"/>
      <c r="Y774" s="627"/>
      <c r="Z774" s="627"/>
      <c r="AA774" s="614">
        <v>0.13</v>
      </c>
      <c r="AB774" s="628"/>
      <c r="AC774" s="628"/>
      <c r="AD774" s="1851"/>
      <c r="AE774" s="188"/>
      <c r="AF774" s="188"/>
      <c r="AG774" s="1866"/>
      <c r="AH774" s="1851"/>
      <c r="AO774" s="13"/>
      <c r="AP774" s="13"/>
    </row>
    <row r="775" spans="1:42" ht="36.75" thickBot="1">
      <c r="A775" s="187"/>
      <c r="B775" s="1164" t="s">
        <v>10</v>
      </c>
      <c r="C775" s="1165" t="s">
        <v>11</v>
      </c>
      <c r="D775" s="1166" t="s">
        <v>12</v>
      </c>
      <c r="E775" s="1166" t="s">
        <v>13</v>
      </c>
      <c r="F775" s="590" t="s">
        <v>14</v>
      </c>
      <c r="G775" s="1464" t="s">
        <v>15</v>
      </c>
      <c r="H775" s="592" t="s">
        <v>1090</v>
      </c>
      <c r="I775" s="592">
        <f>$C$19</f>
        <v>0.52</v>
      </c>
      <c r="J775" s="787">
        <f>$C$19</f>
        <v>0.52</v>
      </c>
      <c r="Q775" s="875" t="s">
        <v>1093</v>
      </c>
      <c r="R775" s="876" t="s">
        <v>1094</v>
      </c>
      <c r="S775" s="1264" t="s">
        <v>1095</v>
      </c>
      <c r="T775" s="1220" t="s">
        <v>1095</v>
      </c>
      <c r="U775" s="204" t="s">
        <v>1096</v>
      </c>
      <c r="V775" s="205" t="s">
        <v>1093</v>
      </c>
      <c r="W775" s="206" t="s">
        <v>1094</v>
      </c>
      <c r="X775" s="207" t="s">
        <v>1097</v>
      </c>
      <c r="Y775" s="208">
        <f>$X$767</f>
        <v>0.56999999999999995</v>
      </c>
      <c r="Z775" s="207" t="s">
        <v>1098</v>
      </c>
      <c r="AA775" s="209" t="s">
        <v>1099</v>
      </c>
      <c r="AB775" s="209" t="s">
        <v>1100</v>
      </c>
      <c r="AC775" s="210" t="s">
        <v>1300</v>
      </c>
      <c r="AD775" s="211" t="s">
        <v>1101</v>
      </c>
      <c r="AE775" s="209" t="s">
        <v>1102</v>
      </c>
      <c r="AF775" s="208" t="s">
        <v>1103</v>
      </c>
      <c r="AG775" s="1867" t="s">
        <v>1104</v>
      </c>
      <c r="AH775" s="213" t="s">
        <v>1116</v>
      </c>
      <c r="AJ775" s="483" t="s">
        <v>1107</v>
      </c>
      <c r="AK775" s="484" t="s">
        <v>1108</v>
      </c>
      <c r="AM775" s="219" t="s">
        <v>1175</v>
      </c>
      <c r="AN775" s="219" t="s">
        <v>1176</v>
      </c>
      <c r="AO775" s="13"/>
      <c r="AP775" s="13"/>
    </row>
    <row r="776" spans="1:42" ht="15.75" thickBot="1">
      <c r="A776" s="187"/>
      <c r="B776" s="1471" t="s">
        <v>587</v>
      </c>
      <c r="C776" s="1472" t="s">
        <v>588</v>
      </c>
      <c r="D776" s="1473">
        <v>180</v>
      </c>
      <c r="E776" s="1474">
        <v>2</v>
      </c>
      <c r="F776" s="1475">
        <v>100</v>
      </c>
      <c r="G776" s="1476">
        <v>50</v>
      </c>
      <c r="H776" s="1477">
        <f>G776*(1+$H$33)</f>
        <v>53.5</v>
      </c>
      <c r="I776" s="1477">
        <f>H776-H776*$J$770</f>
        <v>25.68</v>
      </c>
      <c r="J776" s="793">
        <f>G776-G776*$J$770</f>
        <v>24</v>
      </c>
      <c r="Q776" s="336">
        <v>0.6042562187935766</v>
      </c>
      <c r="R776" s="382">
        <f>Q776*$R$33</f>
        <v>28.419982738518289</v>
      </c>
      <c r="S776" s="383">
        <f>((J776-R776)/J776)*100%</f>
        <v>-0.18416594743826206</v>
      </c>
      <c r="T776" s="1227">
        <f>((I776-R776)/I776)*100%</f>
        <v>-0.10669714713856268</v>
      </c>
      <c r="U776" s="238">
        <v>0.436</v>
      </c>
      <c r="V776" s="239">
        <f>U776*$U$747</f>
        <v>0.61694000000000004</v>
      </c>
      <c r="W776" s="239">
        <f>V776*$R$33</f>
        <v>29.016539020000003</v>
      </c>
      <c r="X776" s="240">
        <f>(ROUND(W776/(1-$AA$774),4))</f>
        <v>33.3523</v>
      </c>
      <c r="Y776" s="239">
        <f>Z776*(1-$X$767)</f>
        <v>29.878120000000003</v>
      </c>
      <c r="Z776" s="240">
        <f>ROUND(X776/(1-$X$766),4)</f>
        <v>69.483999999999995</v>
      </c>
      <c r="AA776" s="241">
        <f>((X776-W776)/X776)*100%</f>
        <v>0.12999886004863223</v>
      </c>
      <c r="AB776" s="241">
        <f>((Y776-W776)/Y776)*100%</f>
        <v>2.8836519165195109E-2</v>
      </c>
      <c r="AC776" s="265">
        <f>((Y776/I776)-1)*100%</f>
        <v>0.16347819314641754</v>
      </c>
      <c r="AD776" s="1004"/>
      <c r="AE776" s="238">
        <f>N776/$R$33</f>
        <v>0</v>
      </c>
      <c r="AF776" s="239">
        <f>(V776/(1-$AA$774))</f>
        <v>0.70912643678160925</v>
      </c>
      <c r="AG776" s="1868">
        <v>1.48</v>
      </c>
      <c r="AH776" s="244">
        <f>((AF776-V776)/AF776)*100%</f>
        <v>0.13</v>
      </c>
      <c r="AJ776" s="1480">
        <f>[1]Статистика!D104</f>
        <v>20016</v>
      </c>
      <c r="AK776" s="76">
        <f>AJ776*Q776*S776</f>
        <v>-2227.4489152960896</v>
      </c>
      <c r="AM776" s="499">
        <f>AJ776/$AJ$816</f>
        <v>0.1164343718733276</v>
      </c>
      <c r="AN776" s="499">
        <f>AK776/$AK$816</f>
        <v>-0.96815193154803258</v>
      </c>
      <c r="AO776" s="13"/>
      <c r="AP776" s="13"/>
    </row>
    <row r="777" spans="1:42">
      <c r="A777" s="187"/>
      <c r="B777" s="586"/>
      <c r="C777" s="1163"/>
      <c r="D777" s="586"/>
      <c r="E777" s="586"/>
      <c r="F777" s="540"/>
      <c r="G777" s="586"/>
      <c r="H777" s="530"/>
      <c r="I777" s="587"/>
      <c r="J777" s="622"/>
      <c r="AO777" s="13"/>
      <c r="AP777" s="13"/>
    </row>
    <row r="778" spans="1:42">
      <c r="A778" s="187"/>
      <c r="B778" s="586"/>
      <c r="C778" s="1163"/>
      <c r="D778" s="586"/>
      <c r="E778" s="586"/>
      <c r="F778" s="540"/>
      <c r="G778" s="586"/>
      <c r="H778" s="530"/>
      <c r="I778" s="587"/>
      <c r="J778" s="622"/>
      <c r="AO778" s="13"/>
      <c r="AP778" s="13"/>
    </row>
    <row r="779" spans="1:42">
      <c r="A779" s="149" t="s">
        <v>1338</v>
      </c>
      <c r="B779" s="586"/>
      <c r="C779" s="1163"/>
      <c r="D779" s="586"/>
      <c r="E779" s="586"/>
      <c r="F779" s="540"/>
      <c r="G779" s="586"/>
      <c r="H779" s="530"/>
      <c r="I779" s="587"/>
      <c r="J779" s="622"/>
      <c r="AO779" s="13"/>
      <c r="AP779" s="13"/>
    </row>
    <row r="780" spans="1:42" ht="15.75" thickBot="1">
      <c r="A780" s="187"/>
      <c r="B780" s="530"/>
      <c r="C780" s="1161" t="s">
        <v>675</v>
      </c>
      <c r="D780" s="586"/>
      <c r="E780" s="586"/>
      <c r="F780" s="540"/>
      <c r="G780" s="586"/>
      <c r="H780" s="530"/>
      <c r="I780" s="587"/>
      <c r="J780" s="622"/>
      <c r="T780" s="1851"/>
      <c r="U780" s="627"/>
      <c r="V780" s="627"/>
      <c r="W780" s="627"/>
      <c r="X780" s="627"/>
      <c r="Y780" s="627"/>
      <c r="Z780" s="627"/>
      <c r="AA780" s="614">
        <v>0.12</v>
      </c>
      <c r="AB780" s="628">
        <v>0.13</v>
      </c>
      <c r="AC780" s="628"/>
      <c r="AD780" s="1851"/>
      <c r="AE780" s="188"/>
      <c r="AF780" s="188"/>
      <c r="AG780" s="1866"/>
      <c r="AH780" s="1851"/>
      <c r="AO780" s="13"/>
      <c r="AP780" s="13"/>
    </row>
    <row r="781" spans="1:42" ht="60.75" thickBot="1">
      <c r="A781" s="187"/>
      <c r="B781" s="1164" t="s">
        <v>10</v>
      </c>
      <c r="C781" s="1165" t="s">
        <v>11</v>
      </c>
      <c r="D781" s="1166" t="s">
        <v>12</v>
      </c>
      <c r="E781" s="1166" t="s">
        <v>13</v>
      </c>
      <c r="F781" s="590" t="s">
        <v>14</v>
      </c>
      <c r="G781" s="1464" t="s">
        <v>15</v>
      </c>
      <c r="H781" s="592" t="s">
        <v>1090</v>
      </c>
      <c r="I781" s="592">
        <f>$C$19</f>
        <v>0.52</v>
      </c>
      <c r="J781" s="787">
        <f>$C$19</f>
        <v>0.52</v>
      </c>
      <c r="Q781" s="875" t="s">
        <v>1093</v>
      </c>
      <c r="R781" s="876" t="s">
        <v>1094</v>
      </c>
      <c r="S781" s="1126" t="s">
        <v>1095</v>
      </c>
      <c r="T781" s="1220" t="s">
        <v>1095</v>
      </c>
      <c r="U781" s="204" t="s">
        <v>1096</v>
      </c>
      <c r="V781" s="205" t="s">
        <v>1093</v>
      </c>
      <c r="W781" s="206" t="s">
        <v>1094</v>
      </c>
      <c r="X781" s="207" t="s">
        <v>1097</v>
      </c>
      <c r="Y781" s="208">
        <f>$X$767</f>
        <v>0.56999999999999995</v>
      </c>
      <c r="Z781" s="207" t="s">
        <v>1098</v>
      </c>
      <c r="AA781" s="209" t="s">
        <v>1099</v>
      </c>
      <c r="AB781" s="209" t="s">
        <v>1100</v>
      </c>
      <c r="AC781" s="210" t="s">
        <v>1300</v>
      </c>
      <c r="AD781" s="211" t="s">
        <v>1101</v>
      </c>
      <c r="AE781" s="209" t="s">
        <v>1102</v>
      </c>
      <c r="AF781" s="208" t="s">
        <v>1103</v>
      </c>
      <c r="AG781" s="1867" t="s">
        <v>1104</v>
      </c>
      <c r="AH781" s="213" t="s">
        <v>1116</v>
      </c>
      <c r="AI781" s="220" t="s">
        <v>1106</v>
      </c>
      <c r="AJ781" s="483" t="s">
        <v>1107</v>
      </c>
      <c r="AK781" s="484" t="s">
        <v>1108</v>
      </c>
      <c r="AL781" s="221" t="s">
        <v>1109</v>
      </c>
      <c r="AM781" s="221" t="s">
        <v>1175</v>
      </c>
      <c r="AN781" s="221" t="s">
        <v>1176</v>
      </c>
      <c r="AO781" s="13"/>
      <c r="AP781" s="13"/>
    </row>
    <row r="782" spans="1:42">
      <c r="A782" s="187"/>
      <c r="B782" s="1481" t="s">
        <v>589</v>
      </c>
      <c r="C782" s="1215" t="s">
        <v>190</v>
      </c>
      <c r="D782" s="1216">
        <v>13</v>
      </c>
      <c r="E782" s="1217">
        <v>125</v>
      </c>
      <c r="F782" s="1202">
        <v>1000</v>
      </c>
      <c r="G782" s="1482">
        <v>20</v>
      </c>
      <c r="H782" s="1218">
        <f>G782*(1+$H$33)</f>
        <v>21.400000000000002</v>
      </c>
      <c r="I782" s="1218">
        <f>H782-H782*$J$770</f>
        <v>10.272</v>
      </c>
      <c r="J782" s="806">
        <f>G782-G782*$J$770</f>
        <v>9.6</v>
      </c>
      <c r="Q782" s="336">
        <v>0.22068380845910193</v>
      </c>
      <c r="R782" s="382">
        <f>Q782*$R$33</f>
        <v>10.379421563256942</v>
      </c>
      <c r="S782" s="918">
        <f>((J782-R782)/J782)*100%</f>
        <v>-8.1189746172598193E-2</v>
      </c>
      <c r="T782" s="1227">
        <f>((I782-R782)/I782)*100%</f>
        <v>-1.045770670336273E-2</v>
      </c>
      <c r="U782" s="238">
        <v>0.16400000000000001</v>
      </c>
      <c r="V782" s="239">
        <f>U782*$U$747</f>
        <v>0.23206000000000002</v>
      </c>
      <c r="W782" s="239">
        <f>V782*$R$33</f>
        <v>10.914477980000001</v>
      </c>
      <c r="X782" s="240">
        <f>(ROUND(W782/(1-$AA$780),4))</f>
        <v>12.402799999999999</v>
      </c>
      <c r="Y782" s="239">
        <f>Z782*(1-$X$767)</f>
        <v>11.110856000000002</v>
      </c>
      <c r="Z782" s="240">
        <f>ROUND(X782/(1-$X$766),4)</f>
        <v>25.839200000000002</v>
      </c>
      <c r="AA782" s="241">
        <f>((X782-W782)/X782)*100%</f>
        <v>0.11999887283516612</v>
      </c>
      <c r="AB782" s="241">
        <f>((Y782-W782)/Y782)*100%</f>
        <v>1.7674427604857889E-2</v>
      </c>
      <c r="AC782" s="265">
        <f>((Y782/I782)-1)*100%</f>
        <v>8.1664330218068626E-2</v>
      </c>
      <c r="AD782" s="1004"/>
      <c r="AE782" s="238">
        <f>N782/$R$33</f>
        <v>0</v>
      </c>
      <c r="AF782" s="239">
        <f>(V782/(1-$AA$780))</f>
        <v>0.26370454545454547</v>
      </c>
      <c r="AG782" s="1868">
        <v>0.55000000000000004</v>
      </c>
      <c r="AH782" s="244">
        <f>((AF782-V782)/AF782)*100%</f>
        <v>0.11999999999999998</v>
      </c>
      <c r="AI782" s="866">
        <f>AJ782/$AJ$784</f>
        <v>0.98342724560822004</v>
      </c>
      <c r="AJ782" s="338">
        <f>[1]Статистика!D105</f>
        <v>5934</v>
      </c>
      <c r="AK782" s="865">
        <f>Q782*S782*AJ782</f>
        <v>-106.32103504122959</v>
      </c>
      <c r="AL782" s="866">
        <f>AK782/$AK$784</f>
        <v>0.96671085259826295</v>
      </c>
      <c r="AM782" s="92">
        <f>AJ782/$AJ$816</f>
        <v>3.4518463364125E-2</v>
      </c>
      <c r="AN782" s="92">
        <f>AK782/$AK$816</f>
        <v>-4.6212020725812958E-2</v>
      </c>
      <c r="AO782" s="13"/>
      <c r="AP782" s="13"/>
    </row>
    <row r="783" spans="1:42" ht="15.75" thickBot="1">
      <c r="A783" s="187"/>
      <c r="B783" s="1481" t="s">
        <v>990</v>
      </c>
      <c r="C783" s="1215" t="s">
        <v>192</v>
      </c>
      <c r="D783" s="1216">
        <v>20</v>
      </c>
      <c r="E783" s="1217">
        <v>125</v>
      </c>
      <c r="F783" s="1202">
        <v>800</v>
      </c>
      <c r="G783" s="1482">
        <v>30</v>
      </c>
      <c r="H783" s="1218">
        <f>G783*(1+$H$33)</f>
        <v>32.1</v>
      </c>
      <c r="I783" s="1218">
        <f>H783-H783*$J$770</f>
        <v>15.408000000000001</v>
      </c>
      <c r="J783" s="806">
        <f>G783-G783*$J$770</f>
        <v>14.399999999999999</v>
      </c>
      <c r="Q783" s="336">
        <v>0.33921348314606742</v>
      </c>
      <c r="R783" s="382">
        <f>Q783*$R$33</f>
        <v>15.95422775280899</v>
      </c>
      <c r="S783" s="918">
        <f>((J783-R783)/J783)*100%</f>
        <v>-0.10793248283395773</v>
      </c>
      <c r="T783" s="1234">
        <f>((I783-R783)/I783)*100%</f>
        <v>-3.5450918536408908E-2</v>
      </c>
      <c r="U783" s="288">
        <v>0.254</v>
      </c>
      <c r="V783" s="291">
        <f>U783*$U$747</f>
        <v>0.35941000000000001</v>
      </c>
      <c r="W783" s="239">
        <f>V783*$R$33</f>
        <v>16.90413053</v>
      </c>
      <c r="X783" s="240">
        <f>(ROUND(W783/(1-$AB$780),4))</f>
        <v>19.43</v>
      </c>
      <c r="Y783" s="239">
        <f>Z783*(1-$X$767)</f>
        <v>17.406056000000003</v>
      </c>
      <c r="Z783" s="240">
        <f>ROUND(X783/(1-$X$766),4)</f>
        <v>40.479199999999999</v>
      </c>
      <c r="AA783" s="241">
        <f>((X783-W783)/X783)*100%</f>
        <v>0.12999842871847658</v>
      </c>
      <c r="AB783" s="241">
        <f>((Y783-W783)/Y783)*100%</f>
        <v>2.8836255036752911E-2</v>
      </c>
      <c r="AC783" s="265">
        <f>((Y783/I783)-1)*100%</f>
        <v>0.12967653167185889</v>
      </c>
      <c r="AD783" s="1004"/>
      <c r="AE783" s="238">
        <f>N783/$R$33</f>
        <v>0</v>
      </c>
      <c r="AF783" s="239">
        <f>(V783/(1-$AB$780))</f>
        <v>0.41311494252873565</v>
      </c>
      <c r="AG783" s="1868">
        <v>0.86</v>
      </c>
      <c r="AH783" s="244">
        <f>((AF783-V783)/AF783)*100%</f>
        <v>0.13000000000000003</v>
      </c>
      <c r="AI783" s="506">
        <f>AJ783/$AJ$784</f>
        <v>1.6572754391779913E-2</v>
      </c>
      <c r="AJ783" s="399">
        <f>[1]Статистика!D106</f>
        <v>100</v>
      </c>
      <c r="AK783" s="859">
        <f>Q783*S783*AJ783</f>
        <v>-3.6612153446709934</v>
      </c>
      <c r="AL783" s="921">
        <f>AK783/$AK$784</f>
        <v>3.3289147401737024E-2</v>
      </c>
      <c r="AM783" s="77">
        <f>AJ783/$AJ$816</f>
        <v>5.8170649417130097E-4</v>
      </c>
      <c r="AN783" s="77">
        <f>AK783/$AK$816</f>
        <v>-1.5913328846355792E-3</v>
      </c>
      <c r="AO783" s="13"/>
      <c r="AP783" s="13"/>
    </row>
    <row r="784" spans="1:42">
      <c r="B784" s="586"/>
      <c r="C784" s="1163"/>
      <c r="D784" s="586"/>
      <c r="E784" s="586"/>
      <c r="F784" s="540"/>
      <c r="G784" s="586"/>
      <c r="H784" s="530"/>
      <c r="I784" s="587"/>
      <c r="J784" s="622"/>
      <c r="S784" s="364"/>
      <c r="T784" s="364"/>
      <c r="U784" s="872"/>
      <c r="V784" s="872"/>
      <c r="W784" s="872"/>
      <c r="X784" s="872"/>
      <c r="Y784" s="872"/>
      <c r="Z784" s="872"/>
      <c r="AA784" s="364"/>
      <c r="AB784" s="364"/>
      <c r="AC784" s="364"/>
      <c r="AD784" s="364"/>
      <c r="AE784" s="872"/>
      <c r="AF784" s="872"/>
      <c r="AG784" s="1882"/>
      <c r="AH784" s="364"/>
      <c r="AI784" s="512">
        <f>S782*AI782+S783*AI783</f>
        <v>-8.1632946979050949E-2</v>
      </c>
      <c r="AJ784" s="513">
        <f>SUM(AJ782:AJ783)</f>
        <v>6034</v>
      </c>
      <c r="AK784" s="514">
        <f>SUM(AK782:AK783)</f>
        <v>-109.98225038590058</v>
      </c>
      <c r="AM784" s="307">
        <f>SUM(AM782:AM783)</f>
        <v>3.5100169858296303E-2</v>
      </c>
      <c r="AN784" s="307">
        <f>SUM(AN782:AN783)</f>
        <v>-4.7803353610448539E-2</v>
      </c>
      <c r="AO784" s="13"/>
      <c r="AP784" s="13"/>
    </row>
    <row r="785" spans="1:42" ht="15.75" thickBot="1">
      <c r="A785" s="149" t="s">
        <v>771</v>
      </c>
      <c r="B785" s="530"/>
      <c r="C785" s="1161" t="s">
        <v>590</v>
      </c>
      <c r="D785" s="586"/>
      <c r="E785" s="586"/>
      <c r="F785" s="540"/>
      <c r="G785" s="586"/>
      <c r="H785" s="530"/>
      <c r="I785" s="587"/>
      <c r="J785" s="622"/>
      <c r="T785" s="1851"/>
      <c r="U785" s="627"/>
      <c r="V785" s="627"/>
      <c r="W785" s="627"/>
      <c r="X785" s="627"/>
      <c r="Y785" s="627"/>
      <c r="Z785" s="627"/>
      <c r="AA785" s="614">
        <v>0.15</v>
      </c>
      <c r="AB785" s="628"/>
      <c r="AC785" s="628"/>
      <c r="AD785" s="1851"/>
      <c r="AE785" s="188"/>
      <c r="AF785" s="188"/>
      <c r="AG785" s="1866"/>
      <c r="AH785" s="1851"/>
      <c r="AO785" s="13"/>
      <c r="AP785" s="13"/>
    </row>
    <row r="786" spans="1:42" ht="36.75" thickBot="1">
      <c r="A786" s="187"/>
      <c r="B786" s="1164" t="s">
        <v>10</v>
      </c>
      <c r="C786" s="1165" t="s">
        <v>11</v>
      </c>
      <c r="D786" s="1166" t="s">
        <v>12</v>
      </c>
      <c r="E786" s="1166" t="s">
        <v>13</v>
      </c>
      <c r="F786" s="590" t="s">
        <v>14</v>
      </c>
      <c r="G786" s="1464" t="s">
        <v>15</v>
      </c>
      <c r="H786" s="592" t="s">
        <v>1090</v>
      </c>
      <c r="I786" s="592">
        <f>$C$19</f>
        <v>0.52</v>
      </c>
      <c r="J786" s="787">
        <f>$C$19</f>
        <v>0.52</v>
      </c>
      <c r="Q786" s="875" t="s">
        <v>1093</v>
      </c>
      <c r="R786" s="876" t="s">
        <v>1094</v>
      </c>
      <c r="S786" s="1264" t="s">
        <v>1095</v>
      </c>
      <c r="T786" s="1220" t="s">
        <v>1095</v>
      </c>
      <c r="U786" s="204" t="s">
        <v>1096</v>
      </c>
      <c r="V786" s="205" t="s">
        <v>1093</v>
      </c>
      <c r="W786" s="206" t="s">
        <v>1094</v>
      </c>
      <c r="X786" s="207" t="s">
        <v>1097</v>
      </c>
      <c r="Y786" s="208">
        <f>$X$767</f>
        <v>0.56999999999999995</v>
      </c>
      <c r="Z786" s="207" t="s">
        <v>1098</v>
      </c>
      <c r="AA786" s="209" t="s">
        <v>1099</v>
      </c>
      <c r="AB786" s="209" t="s">
        <v>1100</v>
      </c>
      <c r="AC786" s="210" t="s">
        <v>1300</v>
      </c>
      <c r="AD786" s="211" t="s">
        <v>1101</v>
      </c>
      <c r="AE786" s="209" t="s">
        <v>1102</v>
      </c>
      <c r="AF786" s="208" t="s">
        <v>1103</v>
      </c>
      <c r="AG786" s="1867" t="s">
        <v>1104</v>
      </c>
      <c r="AH786" s="213" t="s">
        <v>1116</v>
      </c>
      <c r="AJ786" s="483" t="s">
        <v>1107</v>
      </c>
      <c r="AK786" s="484" t="s">
        <v>1108</v>
      </c>
      <c r="AM786" s="219" t="s">
        <v>1175</v>
      </c>
      <c r="AN786" s="219" t="s">
        <v>1176</v>
      </c>
      <c r="AO786" s="13"/>
      <c r="AP786" s="13"/>
    </row>
    <row r="787" spans="1:42" ht="15.75" thickBot="1">
      <c r="A787" s="187"/>
      <c r="B787" s="1471" t="s">
        <v>591</v>
      </c>
      <c r="C787" s="1472" t="s">
        <v>190</v>
      </c>
      <c r="D787" s="1473">
        <v>18</v>
      </c>
      <c r="E787" s="1474">
        <v>125</v>
      </c>
      <c r="F787" s="1475">
        <v>1000</v>
      </c>
      <c r="G787" s="1476">
        <v>28</v>
      </c>
      <c r="H787" s="1477">
        <f>G787*(1+$H$33)</f>
        <v>29.96</v>
      </c>
      <c r="I787" s="1477">
        <f>H787-H787*$J$770</f>
        <v>14.380800000000001</v>
      </c>
      <c r="J787" s="793">
        <f>G787-G787*$J$770</f>
        <v>13.44</v>
      </c>
      <c r="Q787" s="336">
        <v>0.29527607361963193</v>
      </c>
      <c r="R787" s="382">
        <f>Q787*$R$33</f>
        <v>13.887719570552148</v>
      </c>
      <c r="S787" s="383">
        <f>((J787-R787)/J787)*100%</f>
        <v>-3.3312468047034888E-2</v>
      </c>
      <c r="T787" s="1227">
        <f>((I787-R787)/I787)*100%</f>
        <v>3.4287413040154396E-2</v>
      </c>
      <c r="U787" s="238">
        <v>0.214</v>
      </c>
      <c r="V787" s="239">
        <f>U787*$U$747</f>
        <v>0.30281000000000002</v>
      </c>
      <c r="W787" s="239">
        <f>V787*$R$33</f>
        <v>14.242062730000001</v>
      </c>
      <c r="X787" s="240">
        <f>(ROUND(W787/(1-$AA$785),0))</f>
        <v>17</v>
      </c>
      <c r="Y787" s="239">
        <f>Z787*(1-$X$767)</f>
        <v>15.050000000000002</v>
      </c>
      <c r="Z787" s="240">
        <f>ROUND(X787/(1-$X$766),0)</f>
        <v>35</v>
      </c>
      <c r="AA787" s="241">
        <f>((X787-W787)/X787)*100%</f>
        <v>0.16223160411764703</v>
      </c>
      <c r="AB787" s="241">
        <f>((Y787-W787)/Y787)*100%</f>
        <v>5.3683539534883834E-2</v>
      </c>
      <c r="AC787" s="265">
        <f>((Y787/I787)-1)*100%</f>
        <v>4.6534267912772709E-2</v>
      </c>
      <c r="AD787" s="1004"/>
      <c r="AE787" s="238">
        <f>N787/$R$33</f>
        <v>0</v>
      </c>
      <c r="AF787" s="239">
        <f>(V787/(1-$AA$785))</f>
        <v>0.35624705882352947</v>
      </c>
      <c r="AG787" s="1868">
        <v>0.74</v>
      </c>
      <c r="AH787" s="244">
        <f>((AF787-V787)/AF787)*100%</f>
        <v>0.15000000000000008</v>
      </c>
      <c r="AJ787" s="1480">
        <f>[1]Статистика!D109</f>
        <v>12775</v>
      </c>
      <c r="AK787" s="76">
        <f>AJ787*Q787*S787</f>
        <v>-125.65968765491355</v>
      </c>
      <c r="AM787" s="499">
        <f>AJ787/$AJ$816</f>
        <v>7.4313004630383692E-2</v>
      </c>
      <c r="AN787" s="499">
        <f>AK787/$AK$816</f>
        <v>-5.4617490208369313E-2</v>
      </c>
      <c r="AO787" s="13"/>
      <c r="AP787" s="13"/>
    </row>
    <row r="788" spans="1:42">
      <c r="A788" s="187"/>
      <c r="B788" s="586"/>
      <c r="C788" s="1163"/>
      <c r="D788" s="586"/>
      <c r="E788" s="586"/>
      <c r="F788" s="540"/>
      <c r="G788" s="586"/>
      <c r="H788" s="530"/>
      <c r="I788" s="587"/>
      <c r="J788" s="622"/>
      <c r="AO788" s="13"/>
      <c r="AP788" s="13"/>
    </row>
    <row r="789" spans="1:42">
      <c r="A789" s="187"/>
      <c r="B789" s="586"/>
      <c r="C789" s="1163"/>
      <c r="D789" s="586"/>
      <c r="E789" s="586"/>
      <c r="F789" s="540"/>
      <c r="G789" s="586"/>
      <c r="H789" s="530"/>
      <c r="I789" s="587"/>
      <c r="J789" s="622"/>
      <c r="AO789" s="13"/>
      <c r="AP789" s="13"/>
    </row>
    <row r="790" spans="1:42" ht="15.75" thickBot="1">
      <c r="A790" s="149" t="s">
        <v>592</v>
      </c>
      <c r="B790" s="530"/>
      <c r="C790" s="1161" t="s">
        <v>676</v>
      </c>
      <c r="D790" s="586"/>
      <c r="E790" s="586"/>
      <c r="F790" s="540"/>
      <c r="G790" s="586"/>
      <c r="H790" s="530"/>
      <c r="I790" s="587"/>
      <c r="J790" s="622"/>
      <c r="T790" s="1851"/>
      <c r="U790" s="627"/>
      <c r="V790" s="627"/>
      <c r="W790" s="627"/>
      <c r="X790" s="627"/>
      <c r="Y790" s="627"/>
      <c r="Z790" s="627"/>
      <c r="AA790" s="614">
        <v>0.6</v>
      </c>
      <c r="AB790" s="628"/>
      <c r="AC790" s="628"/>
      <c r="AD790" s="1851"/>
      <c r="AE790" s="188"/>
      <c r="AF790" s="188"/>
      <c r="AG790" s="1866"/>
      <c r="AH790" s="1851"/>
      <c r="AO790" s="13"/>
      <c r="AP790" s="13"/>
    </row>
    <row r="791" spans="1:42" ht="36.75" thickBot="1">
      <c r="A791" s="187"/>
      <c r="B791" s="1164" t="s">
        <v>10</v>
      </c>
      <c r="C791" s="1165" t="s">
        <v>11</v>
      </c>
      <c r="D791" s="1166" t="s">
        <v>12</v>
      </c>
      <c r="E791" s="1166" t="s">
        <v>13</v>
      </c>
      <c r="F791" s="590" t="s">
        <v>14</v>
      </c>
      <c r="G791" s="1464" t="s">
        <v>15</v>
      </c>
      <c r="H791" s="592" t="s">
        <v>1090</v>
      </c>
      <c r="I791" s="592">
        <f>$C$19</f>
        <v>0.52</v>
      </c>
      <c r="J791" s="787">
        <f>$C$19</f>
        <v>0.52</v>
      </c>
      <c r="Q791" s="875" t="s">
        <v>1093</v>
      </c>
      <c r="R791" s="876" t="s">
        <v>1094</v>
      </c>
      <c r="S791" s="1264" t="s">
        <v>1095</v>
      </c>
      <c r="T791" s="1220" t="s">
        <v>1095</v>
      </c>
      <c r="U791" s="204" t="s">
        <v>1096</v>
      </c>
      <c r="V791" s="205" t="s">
        <v>1093</v>
      </c>
      <c r="W791" s="206" t="s">
        <v>1094</v>
      </c>
      <c r="X791" s="207" t="s">
        <v>1097</v>
      </c>
      <c r="Y791" s="208">
        <f>$X$767</f>
        <v>0.56999999999999995</v>
      </c>
      <c r="Z791" s="207" t="s">
        <v>1098</v>
      </c>
      <c r="AA791" s="209" t="s">
        <v>1099</v>
      </c>
      <c r="AB791" s="209" t="s">
        <v>1100</v>
      </c>
      <c r="AC791" s="210" t="s">
        <v>1300</v>
      </c>
      <c r="AD791" s="211" t="s">
        <v>1101</v>
      </c>
      <c r="AE791" s="209" t="s">
        <v>1102</v>
      </c>
      <c r="AF791" s="208" t="s">
        <v>1103</v>
      </c>
      <c r="AG791" s="1867" t="s">
        <v>1104</v>
      </c>
      <c r="AH791" s="213" t="s">
        <v>1116</v>
      </c>
      <c r="AJ791" s="483" t="s">
        <v>1107</v>
      </c>
      <c r="AK791" s="484" t="s">
        <v>1108</v>
      </c>
      <c r="AM791" s="219" t="s">
        <v>1175</v>
      </c>
      <c r="AN791" s="219" t="s">
        <v>1176</v>
      </c>
      <c r="AO791" s="13"/>
      <c r="AP791" s="13"/>
    </row>
    <row r="792" spans="1:42" ht="15.75" thickBot="1">
      <c r="A792" s="187"/>
      <c r="B792" s="1471" t="s">
        <v>592</v>
      </c>
      <c r="C792" s="1472" t="s">
        <v>194</v>
      </c>
      <c r="D792" s="1473">
        <v>48</v>
      </c>
      <c r="E792" s="1474">
        <v>10</v>
      </c>
      <c r="F792" s="1475">
        <v>200</v>
      </c>
      <c r="G792" s="1476">
        <v>24</v>
      </c>
      <c r="H792" s="1477">
        <f>G792*(1+$H$33)</f>
        <v>25.68</v>
      </c>
      <c r="I792" s="1477">
        <f>H792-H792*$J$770</f>
        <v>12.3264</v>
      </c>
      <c r="J792" s="793">
        <f>G792-G792*$J$770</f>
        <v>11.52</v>
      </c>
      <c r="Q792" s="336">
        <v>0.11490196078431372</v>
      </c>
      <c r="R792" s="382">
        <f>Q792*$R$33</f>
        <v>5.4041839215686274</v>
      </c>
      <c r="S792" s="383">
        <f>((J792-R792)/J792)*100%</f>
        <v>0.53088681236383439</v>
      </c>
      <c r="T792" s="1227">
        <f>((I792-R792)/I792)*100%</f>
        <v>0.56157646015311624</v>
      </c>
      <c r="U792" s="238">
        <v>8.5000000000000006E-2</v>
      </c>
      <c r="V792" s="239">
        <f>U792*$U$747</f>
        <v>0.12027500000000001</v>
      </c>
      <c r="W792" s="239">
        <f>V792*$R$33</f>
        <v>5.6568940750000003</v>
      </c>
      <c r="X792" s="240">
        <f>(ROUND(W792/(1-$AA$790),0))</f>
        <v>14</v>
      </c>
      <c r="Y792" s="239">
        <f>Z792*(1-$X$767)</f>
        <v>12.47</v>
      </c>
      <c r="Z792" s="240">
        <f>ROUND(X792/(1-$X$766),0)</f>
        <v>29</v>
      </c>
      <c r="AA792" s="241">
        <f>((X792-W792)/X792)*100%</f>
        <v>0.59593613749999996</v>
      </c>
      <c r="AB792" s="241">
        <f>((Y792-W792)/Y792)*100%</f>
        <v>0.54635973736968724</v>
      </c>
      <c r="AC792" s="265">
        <f>((Y792/I792)-1)*100%</f>
        <v>1.1649792315680196E-2</v>
      </c>
      <c r="AD792" s="1004"/>
      <c r="AE792" s="238">
        <f>N792/$R$33</f>
        <v>0</v>
      </c>
      <c r="AF792" s="239">
        <f>(V792/(1-$AA$790))</f>
        <v>0.3006875</v>
      </c>
      <c r="AG792" s="1868">
        <v>0.4</v>
      </c>
      <c r="AH792" s="244">
        <f>((AF792-V792)/AF792)*100%</f>
        <v>0.6</v>
      </c>
      <c r="AJ792" s="1480">
        <f>[1]Статистика!D107</f>
        <v>11162</v>
      </c>
      <c r="AK792" s="76">
        <f>AJ792*Q792*S792</f>
        <v>680.88128222913724</v>
      </c>
      <c r="AM792" s="499">
        <f>AJ792/$AJ$816</f>
        <v>6.493007887940061E-2</v>
      </c>
      <c r="AN792" s="499">
        <f>AK792/$AK$816</f>
        <v>0.29594237785579691</v>
      </c>
      <c r="AO792" s="13"/>
      <c r="AP792" s="13"/>
    </row>
    <row r="793" spans="1:42">
      <c r="A793" s="187"/>
      <c r="B793" s="1257"/>
      <c r="C793" s="1258"/>
      <c r="D793" s="1259"/>
      <c r="E793" s="1260"/>
      <c r="F793" s="1236"/>
      <c r="G793" s="1261"/>
      <c r="H793" s="1483"/>
      <c r="I793" s="1483"/>
      <c r="J793" s="622"/>
      <c r="AO793" s="13"/>
      <c r="AP793" s="13"/>
    </row>
    <row r="794" spans="1:42">
      <c r="A794" s="187"/>
      <c r="B794" s="1257"/>
      <c r="C794" s="1258"/>
      <c r="D794" s="1259"/>
      <c r="E794" s="1260"/>
      <c r="F794" s="1236"/>
      <c r="G794" s="1261"/>
      <c r="H794" s="1483"/>
      <c r="I794" s="1483"/>
      <c r="J794" s="622"/>
      <c r="AO794" s="13"/>
      <c r="AP794" s="13"/>
    </row>
    <row r="795" spans="1:42">
      <c r="A795" s="149" t="s">
        <v>594</v>
      </c>
      <c r="B795" s="586"/>
      <c r="C795" s="1163"/>
      <c r="D795" s="586"/>
      <c r="E795" s="586"/>
      <c r="F795" s="540"/>
      <c r="G795" s="586"/>
      <c r="H795" s="530"/>
      <c r="I795" s="587"/>
      <c r="J795" s="622"/>
      <c r="AO795" s="13"/>
      <c r="AP795" s="13"/>
    </row>
    <row r="796" spans="1:42" ht="15.75" thickBot="1">
      <c r="A796" s="187"/>
      <c r="B796" s="530"/>
      <c r="C796" s="1161" t="s">
        <v>593</v>
      </c>
      <c r="D796" s="586"/>
      <c r="E796" s="586"/>
      <c r="F796" s="540"/>
      <c r="G796" s="586"/>
      <c r="H796" s="530"/>
      <c r="I796" s="587"/>
      <c r="J796" s="622"/>
      <c r="T796" s="1851"/>
      <c r="U796" s="627"/>
      <c r="V796" s="627"/>
      <c r="W796" s="627"/>
      <c r="X796" s="627"/>
      <c r="Y796" s="627"/>
      <c r="Z796" s="627"/>
      <c r="AA796" s="614">
        <v>0.2</v>
      </c>
      <c r="AB796" s="628"/>
      <c r="AC796" s="628"/>
      <c r="AD796" s="1851"/>
      <c r="AE796" s="188"/>
      <c r="AF796" s="188"/>
      <c r="AG796" s="1866"/>
      <c r="AH796" s="1851"/>
      <c r="AO796" s="13"/>
      <c r="AP796" s="13"/>
    </row>
    <row r="797" spans="1:42" ht="36.75" thickBot="1">
      <c r="A797" s="187"/>
      <c r="B797" s="1164" t="s">
        <v>10</v>
      </c>
      <c r="C797" s="1165" t="s">
        <v>11</v>
      </c>
      <c r="D797" s="1166" t="s">
        <v>12</v>
      </c>
      <c r="E797" s="1166" t="s">
        <v>13</v>
      </c>
      <c r="F797" s="590" t="s">
        <v>14</v>
      </c>
      <c r="G797" s="1464" t="s">
        <v>15</v>
      </c>
      <c r="H797" s="592" t="s">
        <v>1090</v>
      </c>
      <c r="I797" s="592">
        <f>$C$19</f>
        <v>0.52</v>
      </c>
      <c r="J797" s="787">
        <f>$C$19</f>
        <v>0.52</v>
      </c>
      <c r="Q797" s="875" t="s">
        <v>1093</v>
      </c>
      <c r="R797" s="876" t="s">
        <v>1094</v>
      </c>
      <c r="S797" s="1264" t="s">
        <v>1095</v>
      </c>
      <c r="T797" s="1220" t="s">
        <v>1095</v>
      </c>
      <c r="U797" s="204" t="s">
        <v>1096</v>
      </c>
      <c r="V797" s="205" t="s">
        <v>1093</v>
      </c>
      <c r="W797" s="206" t="s">
        <v>1094</v>
      </c>
      <c r="X797" s="207" t="s">
        <v>1097</v>
      </c>
      <c r="Y797" s="208">
        <f>$X$767</f>
        <v>0.56999999999999995</v>
      </c>
      <c r="Z797" s="207" t="s">
        <v>1098</v>
      </c>
      <c r="AA797" s="209" t="s">
        <v>1099</v>
      </c>
      <c r="AB797" s="209" t="s">
        <v>1100</v>
      </c>
      <c r="AC797" s="210" t="s">
        <v>1300</v>
      </c>
      <c r="AD797" s="211" t="s">
        <v>1101</v>
      </c>
      <c r="AE797" s="209" t="s">
        <v>1102</v>
      </c>
      <c r="AF797" s="208" t="s">
        <v>1103</v>
      </c>
      <c r="AG797" s="1867" t="s">
        <v>1104</v>
      </c>
      <c r="AH797" s="213" t="s">
        <v>1116</v>
      </c>
      <c r="AJ797" s="483" t="s">
        <v>1107</v>
      </c>
      <c r="AK797" s="484" t="s">
        <v>1108</v>
      </c>
      <c r="AM797" s="219" t="s">
        <v>1175</v>
      </c>
      <c r="AN797" s="219" t="s">
        <v>1176</v>
      </c>
      <c r="AO797" s="13"/>
      <c r="AP797" s="13"/>
    </row>
    <row r="798" spans="1:42" ht="15.75" thickBot="1">
      <c r="A798" s="187"/>
      <c r="B798" s="1471" t="s">
        <v>594</v>
      </c>
      <c r="C798" s="1472" t="s">
        <v>194</v>
      </c>
      <c r="D798" s="1473">
        <v>2</v>
      </c>
      <c r="E798" s="1474">
        <v>100</v>
      </c>
      <c r="F798" s="1475">
        <v>3000</v>
      </c>
      <c r="G798" s="1476">
        <v>4</v>
      </c>
      <c r="H798" s="1477">
        <f>G798*(1+$H$33)</f>
        <v>4.28</v>
      </c>
      <c r="I798" s="1477">
        <f>H798-H798*$J$770</f>
        <v>2.0544000000000002</v>
      </c>
      <c r="J798" s="793">
        <f>G798-G798*$J$770</f>
        <v>1.92</v>
      </c>
      <c r="Q798" s="336">
        <v>3.0000000000000002E-2</v>
      </c>
      <c r="R798" s="382">
        <f>Q798*$R$33</f>
        <v>1.4109900000000002</v>
      </c>
      <c r="S798" s="383">
        <f>((J798-R798)/J798)*100%</f>
        <v>0.26510937499999987</v>
      </c>
      <c r="T798" s="1227">
        <f>((I798-R798)/I798)*100%</f>
        <v>0.31318633177570093</v>
      </c>
      <c r="U798" s="238">
        <v>2.5999999999999999E-2</v>
      </c>
      <c r="V798" s="239">
        <f>U798*$U$747</f>
        <v>3.6789999999999996E-2</v>
      </c>
      <c r="W798" s="239">
        <f>V798*$R$33</f>
        <v>1.7303440699999999</v>
      </c>
      <c r="X798" s="240">
        <f>(ROUND(W798/(1-$AA$796),4))</f>
        <v>2.1629</v>
      </c>
      <c r="Y798" s="1484">
        <f>Z798*(1-$X$767)</f>
        <v>1.9375800000000003</v>
      </c>
      <c r="Z798" s="1485">
        <f>ROUND(X798/(1-$X$766),3)</f>
        <v>4.5060000000000002</v>
      </c>
      <c r="AA798" s="241">
        <f>((X798-W798)/X798)*100%</f>
        <v>0.19998887142262708</v>
      </c>
      <c r="AB798" s="241">
        <f>((Y798-W798)/Y798)*100%</f>
        <v>0.10695606374962602</v>
      </c>
      <c r="AC798" s="265">
        <f>((Y798/I798)-1)*100%</f>
        <v>-5.6863317757009257E-2</v>
      </c>
      <c r="AD798" s="1004"/>
      <c r="AE798" s="238">
        <f>N798/$R$33</f>
        <v>0</v>
      </c>
      <c r="AF798" s="239">
        <f>(V798/(1-$AA$796))</f>
        <v>4.5987499999999994E-2</v>
      </c>
      <c r="AG798" s="1868">
        <v>0.1</v>
      </c>
      <c r="AH798" s="244">
        <f>((AF798-V798)/AF798)*100%</f>
        <v>0.19999999999999998</v>
      </c>
      <c r="AJ798" s="1160">
        <f>[1]Статистика!D108</f>
        <v>91574</v>
      </c>
      <c r="AK798" s="76">
        <f>AJ798*Q798*S798</f>
        <v>728.31377718749968</v>
      </c>
      <c r="AM798" s="499">
        <f>AJ798/$AJ$816</f>
        <v>0.53269190497242713</v>
      </c>
      <c r="AN798" s="499">
        <f>AK798/$AK$816</f>
        <v>0.31655872568614729</v>
      </c>
      <c r="AO798" s="13"/>
      <c r="AP798" s="13"/>
    </row>
    <row r="799" spans="1:42">
      <c r="A799" s="187"/>
      <c r="B799" s="586"/>
      <c r="C799" s="1163"/>
      <c r="D799" s="586"/>
      <c r="E799" s="586"/>
      <c r="F799" s="540"/>
      <c r="G799" s="586"/>
      <c r="H799" s="530"/>
      <c r="I799" s="587"/>
      <c r="J799" s="622"/>
      <c r="AO799" s="13"/>
      <c r="AP799" s="13"/>
    </row>
    <row r="800" spans="1:42">
      <c r="A800" s="149" t="s">
        <v>595</v>
      </c>
      <c r="B800" s="586"/>
      <c r="C800" s="1163"/>
      <c r="D800" s="586"/>
      <c r="E800" s="586"/>
      <c r="F800" s="540"/>
      <c r="G800" s="586"/>
      <c r="H800" s="530"/>
      <c r="I800" s="587"/>
      <c r="J800" s="622"/>
      <c r="AO800" s="13"/>
      <c r="AP800" s="13"/>
    </row>
    <row r="801" spans="1:42" ht="15.75" thickBot="1">
      <c r="A801" s="187"/>
      <c r="B801" s="530"/>
      <c r="C801" s="1161" t="s">
        <v>673</v>
      </c>
      <c r="D801" s="586"/>
      <c r="E801" s="586"/>
      <c r="F801" s="540"/>
      <c r="G801" s="586"/>
      <c r="H801" s="530"/>
      <c r="I801" s="587"/>
      <c r="J801" s="622"/>
      <c r="T801" s="1851"/>
      <c r="U801" s="627"/>
      <c r="V801" s="627"/>
      <c r="W801" s="627"/>
      <c r="X801" s="627"/>
      <c r="Y801" s="627"/>
      <c r="Z801" s="627"/>
      <c r="AA801" s="614">
        <v>0.3</v>
      </c>
      <c r="AB801" s="628"/>
      <c r="AC801" s="628"/>
      <c r="AD801" s="1851"/>
      <c r="AE801" s="188"/>
      <c r="AF801" s="188"/>
      <c r="AG801" s="1866"/>
      <c r="AH801" s="1851"/>
      <c r="AO801" s="13"/>
      <c r="AP801" s="13"/>
    </row>
    <row r="802" spans="1:42" ht="36.75" thickBot="1">
      <c r="A802" s="187"/>
      <c r="B802" s="1164" t="s">
        <v>10</v>
      </c>
      <c r="C802" s="1165" t="s">
        <v>11</v>
      </c>
      <c r="D802" s="1166" t="s">
        <v>12</v>
      </c>
      <c r="E802" s="1166" t="s">
        <v>13</v>
      </c>
      <c r="F802" s="590" t="s">
        <v>14</v>
      </c>
      <c r="G802" s="1464" t="s">
        <v>15</v>
      </c>
      <c r="H802" s="592" t="s">
        <v>1090</v>
      </c>
      <c r="I802" s="592">
        <f>$C$19</f>
        <v>0.52</v>
      </c>
      <c r="J802" s="787">
        <f>$C$19</f>
        <v>0.52</v>
      </c>
      <c r="Q802" s="875" t="s">
        <v>1093</v>
      </c>
      <c r="R802" s="876" t="s">
        <v>1094</v>
      </c>
      <c r="S802" s="1264" t="s">
        <v>1095</v>
      </c>
      <c r="T802" s="1220" t="s">
        <v>1095</v>
      </c>
      <c r="U802" s="204" t="s">
        <v>1096</v>
      </c>
      <c r="V802" s="205" t="s">
        <v>1093</v>
      </c>
      <c r="W802" s="206" t="s">
        <v>1094</v>
      </c>
      <c r="X802" s="207" t="s">
        <v>1097</v>
      </c>
      <c r="Y802" s="208">
        <f>$X$767</f>
        <v>0.56999999999999995</v>
      </c>
      <c r="Z802" s="207" t="s">
        <v>1098</v>
      </c>
      <c r="AA802" s="209" t="s">
        <v>1099</v>
      </c>
      <c r="AB802" s="209" t="s">
        <v>1100</v>
      </c>
      <c r="AC802" s="210" t="s">
        <v>1300</v>
      </c>
      <c r="AD802" s="211" t="s">
        <v>1101</v>
      </c>
      <c r="AE802" s="209" t="s">
        <v>1102</v>
      </c>
      <c r="AF802" s="208" t="s">
        <v>1103</v>
      </c>
      <c r="AG802" s="1867" t="s">
        <v>1104</v>
      </c>
      <c r="AH802" s="213" t="s">
        <v>1116</v>
      </c>
      <c r="AJ802" s="483" t="s">
        <v>1107</v>
      </c>
      <c r="AK802" s="484" t="s">
        <v>1108</v>
      </c>
      <c r="AM802" s="219" t="s">
        <v>1175</v>
      </c>
      <c r="AN802" s="219" t="s">
        <v>1176</v>
      </c>
      <c r="AO802" s="13"/>
      <c r="AP802" s="13"/>
    </row>
    <row r="803" spans="1:42" ht="15.75" thickBot="1">
      <c r="A803" s="187"/>
      <c r="B803" s="1471" t="s">
        <v>595</v>
      </c>
      <c r="C803" s="1472"/>
      <c r="D803" s="1473">
        <v>115</v>
      </c>
      <c r="E803" s="1474">
        <v>1</v>
      </c>
      <c r="F803" s="1475">
        <v>100</v>
      </c>
      <c r="G803" s="1476">
        <v>200</v>
      </c>
      <c r="H803" s="1477">
        <f>G803*(1+$H$33)</f>
        <v>214</v>
      </c>
      <c r="I803" s="1477">
        <f>H803-H803*$J$770</f>
        <v>102.72</v>
      </c>
      <c r="J803" s="793">
        <f>G803-G803*$J$770</f>
        <v>96</v>
      </c>
      <c r="Q803" s="336">
        <v>1.4775362318840579</v>
      </c>
      <c r="R803" s="382">
        <f>Q803*$R$33</f>
        <v>69.492961594202896</v>
      </c>
      <c r="S803" s="383">
        <f>((J803-R803)/J803)*100%</f>
        <v>0.27611498339371982</v>
      </c>
      <c r="T803" s="1227">
        <f>((I803-R803)/I803)*100%</f>
        <v>0.32347194709693444</v>
      </c>
      <c r="U803" s="238">
        <v>1.119</v>
      </c>
      <c r="V803" s="239">
        <f>U803*$U$747</f>
        <v>1.583385</v>
      </c>
      <c r="W803" s="239">
        <f>V803*$R$33</f>
        <v>74.471346705000002</v>
      </c>
      <c r="X803" s="240">
        <f>(ROUND(W803/(1-$AA$801),0))</f>
        <v>106</v>
      </c>
      <c r="Y803" s="239">
        <f>Z803*(1-$X$748)</f>
        <v>101.66</v>
      </c>
      <c r="Z803" s="240">
        <f>ROUND(X803/(1-$X$766),0)</f>
        <v>221</v>
      </c>
      <c r="AA803" s="241">
        <f>((X803-W803)/X803)*100%</f>
        <v>0.2974401254245283</v>
      </c>
      <c r="AB803" s="241">
        <f>((Y803-W803)/Y803)*100%</f>
        <v>0.26744691417469996</v>
      </c>
      <c r="AC803" s="265">
        <f>((Y803/I803)-1)*100%</f>
        <v>-1.0319314641744626E-2</v>
      </c>
      <c r="AD803" s="1004"/>
      <c r="AE803" s="238">
        <f>N803/$R$33</f>
        <v>0</v>
      </c>
      <c r="AF803" s="239">
        <f>(V803/(1-$AA$801))</f>
        <v>2.2619785714285716</v>
      </c>
      <c r="AG803" s="1868">
        <v>4.71</v>
      </c>
      <c r="AH803" s="244">
        <f>((AF803-V803)/AF803)*100%</f>
        <v>0.30000000000000004</v>
      </c>
      <c r="AJ803" s="1480">
        <f>[1]Статистика!D110</f>
        <v>377</v>
      </c>
      <c r="AK803" s="76">
        <f>AJ803*Q803*S803</f>
        <v>153.80464933311779</v>
      </c>
      <c r="AM803" s="499">
        <f>AJ803/$AJ$816</f>
        <v>2.1930334830258043E-3</v>
      </c>
      <c r="AN803" s="499">
        <f>AK803/$AK$816</f>
        <v>6.6850587373911585E-2</v>
      </c>
      <c r="AO803" s="13"/>
      <c r="AP803" s="13"/>
    </row>
    <row r="804" spans="1:42">
      <c r="A804" s="187"/>
      <c r="B804" s="586"/>
      <c r="C804" s="1163"/>
      <c r="D804" s="586"/>
      <c r="E804" s="586"/>
      <c r="F804" s="540"/>
      <c r="G804" s="586"/>
      <c r="H804" s="530"/>
      <c r="I804" s="587"/>
      <c r="J804" s="622"/>
      <c r="AO804" s="13"/>
      <c r="AP804" s="13"/>
    </row>
    <row r="805" spans="1:42">
      <c r="A805" s="187"/>
      <c r="B805" s="586"/>
      <c r="C805" s="1163"/>
      <c r="D805" s="586"/>
      <c r="E805" s="586"/>
      <c r="F805" s="540"/>
      <c r="G805" s="586"/>
      <c r="H805" s="530"/>
      <c r="I805" s="587"/>
      <c r="J805" s="622"/>
      <c r="AO805" s="13"/>
      <c r="AP805" s="13"/>
    </row>
    <row r="806" spans="1:42" ht="15.75" thickBot="1">
      <c r="A806" s="1486" t="s">
        <v>747</v>
      </c>
      <c r="B806" s="530"/>
      <c r="C806" s="1161" t="s">
        <v>674</v>
      </c>
      <c r="D806" s="586"/>
      <c r="E806" s="586"/>
      <c r="F806" s="540"/>
      <c r="G806" s="586"/>
      <c r="H806" s="530"/>
      <c r="I806" s="587"/>
      <c r="J806" s="622"/>
      <c r="T806" s="1851"/>
      <c r="U806" s="627"/>
      <c r="V806" s="627"/>
      <c r="W806" s="627"/>
      <c r="X806" s="627"/>
      <c r="Y806" s="627"/>
      <c r="Z806" s="627"/>
      <c r="AA806" s="614">
        <v>0.6</v>
      </c>
      <c r="AB806" s="628"/>
      <c r="AC806" s="628"/>
      <c r="AD806" s="1851"/>
      <c r="AE806" s="188"/>
      <c r="AF806" s="188"/>
      <c r="AG806" s="1866"/>
      <c r="AH806" s="1851"/>
      <c r="AO806" s="13"/>
      <c r="AP806" s="13"/>
    </row>
    <row r="807" spans="1:42" ht="36.75" thickBot="1">
      <c r="A807" s="187"/>
      <c r="B807" s="1164" t="s">
        <v>10</v>
      </c>
      <c r="C807" s="1165" t="s">
        <v>11</v>
      </c>
      <c r="D807" s="1166" t="s">
        <v>12</v>
      </c>
      <c r="E807" s="1166" t="s">
        <v>13</v>
      </c>
      <c r="F807" s="590" t="s">
        <v>14</v>
      </c>
      <c r="G807" s="1464" t="s">
        <v>15</v>
      </c>
      <c r="H807" s="592" t="s">
        <v>1090</v>
      </c>
      <c r="I807" s="592">
        <f>$C$19</f>
        <v>0.52</v>
      </c>
      <c r="J807" s="787">
        <f>$C$19</f>
        <v>0.52</v>
      </c>
      <c r="Q807" s="875" t="s">
        <v>1093</v>
      </c>
      <c r="R807" s="876" t="s">
        <v>1094</v>
      </c>
      <c r="S807" s="1264" t="s">
        <v>1095</v>
      </c>
      <c r="T807" s="1220" t="s">
        <v>1095</v>
      </c>
      <c r="U807" s="204" t="s">
        <v>1096</v>
      </c>
      <c r="V807" s="205" t="s">
        <v>1093</v>
      </c>
      <c r="W807" s="206" t="s">
        <v>1094</v>
      </c>
      <c r="X807" s="207" t="s">
        <v>1097</v>
      </c>
      <c r="Y807" s="208">
        <f>$X$767</f>
        <v>0.56999999999999995</v>
      </c>
      <c r="Z807" s="207" t="s">
        <v>1098</v>
      </c>
      <c r="AA807" s="209" t="s">
        <v>1099</v>
      </c>
      <c r="AB807" s="209" t="s">
        <v>1100</v>
      </c>
      <c r="AC807" s="210" t="s">
        <v>1300</v>
      </c>
      <c r="AD807" s="211" t="s">
        <v>1101</v>
      </c>
      <c r="AE807" s="209" t="s">
        <v>1102</v>
      </c>
      <c r="AF807" s="208" t="s">
        <v>1103</v>
      </c>
      <c r="AG807" s="1867" t="s">
        <v>1104</v>
      </c>
      <c r="AH807" s="213" t="s">
        <v>1116</v>
      </c>
      <c r="AJ807" s="483" t="s">
        <v>1107</v>
      </c>
      <c r="AK807" s="484" t="s">
        <v>1108</v>
      </c>
      <c r="AM807" s="219" t="s">
        <v>1175</v>
      </c>
      <c r="AN807" s="219" t="s">
        <v>1176</v>
      </c>
      <c r="AO807" s="13"/>
      <c r="AP807" s="13"/>
    </row>
    <row r="808" spans="1:42" ht="15.75" thickBot="1">
      <c r="A808" s="187"/>
      <c r="B808" s="1471" t="s">
        <v>747</v>
      </c>
      <c r="C808" s="1472"/>
      <c r="D808" s="1473"/>
      <c r="E808" s="1474">
        <v>1</v>
      </c>
      <c r="F808" s="1475">
        <v>1</v>
      </c>
      <c r="G808" s="1476">
        <v>700</v>
      </c>
      <c r="H808" s="1477">
        <f>G808*(1+$H$33)</f>
        <v>749</v>
      </c>
      <c r="I808" s="1477">
        <f>H808-H808*$J$770</f>
        <v>359.52</v>
      </c>
      <c r="J808" s="793">
        <f>G808-G808*$J$770</f>
        <v>336</v>
      </c>
      <c r="Q808" s="336">
        <v>2.9799999999999995</v>
      </c>
      <c r="R808" s="382">
        <f>Q808*$R$33</f>
        <v>140.15833999999998</v>
      </c>
      <c r="S808" s="383">
        <f>((J808-R808)/J808)*100%</f>
        <v>0.58286208333333334</v>
      </c>
      <c r="T808" s="1227">
        <f>((I808-R808)/I808)*100%</f>
        <v>0.61015147975077888</v>
      </c>
      <c r="U808" s="238">
        <v>1.974</v>
      </c>
      <c r="V808" s="239">
        <f>U808*$U$747</f>
        <v>2.7932100000000002</v>
      </c>
      <c r="W808" s="239">
        <f>V808*$R$33</f>
        <v>131.37304593000002</v>
      </c>
      <c r="X808" s="240">
        <f>(ROUND(W808/(1-$AA$806),0))</f>
        <v>328</v>
      </c>
      <c r="Y808" s="239">
        <f>Z808*(1-$X$767)</f>
        <v>293.69000000000005</v>
      </c>
      <c r="Z808" s="240">
        <f>ROUND(X808/(1-$X$766),0)</f>
        <v>683</v>
      </c>
      <c r="AA808" s="241">
        <f>((X808-W808)/X808)*100%</f>
        <v>0.59947242094512188</v>
      </c>
      <c r="AB808" s="241">
        <f>((Y808-W808)/Y808)*100%</f>
        <v>0.55268124236439786</v>
      </c>
      <c r="AC808" s="265">
        <f>((Y808/I808)-1)*100%</f>
        <v>-0.1831052514463728</v>
      </c>
      <c r="AD808" s="1004"/>
      <c r="AE808" s="238">
        <f>N808/$R$33</f>
        <v>0</v>
      </c>
      <c r="AF808" s="239">
        <f>(V808/(1-$AA$806))</f>
        <v>6.9830250000000005</v>
      </c>
      <c r="AG808" s="1868">
        <v>14.55</v>
      </c>
      <c r="AH808" s="244">
        <f>((AF808-V808)/AF808)*100%</f>
        <v>0.6</v>
      </c>
      <c r="AJ808" s="1480">
        <f>[1]Статистика!D112</f>
        <v>404</v>
      </c>
      <c r="AK808" s="76">
        <f>AJ808*Q808*S808</f>
        <v>701.71931936666658</v>
      </c>
      <c r="AM808" s="499">
        <f>AJ808/$AJ$816</f>
        <v>2.3500942364520559E-3</v>
      </c>
      <c r="AN808" s="499">
        <f>AK808/$AK$816</f>
        <v>0.30499954893874714</v>
      </c>
      <c r="AO808" s="13"/>
      <c r="AP808" s="13"/>
    </row>
    <row r="809" spans="1:42">
      <c r="A809" s="187"/>
      <c r="B809" s="586"/>
      <c r="C809" s="1163"/>
      <c r="D809" s="586"/>
      <c r="E809" s="586"/>
      <c r="F809" s="540"/>
      <c r="G809" s="586"/>
      <c r="H809" s="530"/>
      <c r="I809" s="587"/>
      <c r="J809" s="622"/>
      <c r="AO809" s="13"/>
      <c r="AP809" s="13"/>
    </row>
    <row r="810" spans="1:42">
      <c r="A810" s="1845"/>
      <c r="B810" s="1845"/>
      <c r="C810" s="1487"/>
      <c r="D810" s="1845"/>
      <c r="E810" s="1845"/>
      <c r="F810" s="1845"/>
      <c r="G810" s="1845"/>
      <c r="H810" s="1488"/>
      <c r="I810" s="624"/>
      <c r="J810" s="622"/>
      <c r="AO810" s="13"/>
      <c r="AP810" s="13"/>
    </row>
    <row r="811" spans="1:42" ht="15.75" thickBot="1">
      <c r="A811" s="149" t="s">
        <v>596</v>
      </c>
      <c r="B811" s="530"/>
      <c r="C811" s="2371" t="s">
        <v>773</v>
      </c>
      <c r="D811" s="2371"/>
      <c r="E811" s="2371"/>
      <c r="F811" s="2371"/>
      <c r="G811" s="586"/>
      <c r="H811" s="530"/>
      <c r="I811" s="587"/>
      <c r="J811" s="622"/>
      <c r="T811" s="1851"/>
      <c r="U811" s="627"/>
      <c r="V811" s="627"/>
      <c r="W811" s="627"/>
      <c r="X811" s="627"/>
      <c r="Y811" s="627"/>
      <c r="Z811" s="627"/>
      <c r="AA811" s="614">
        <v>0.21</v>
      </c>
      <c r="AB811" s="628"/>
      <c r="AC811" s="628"/>
      <c r="AD811" s="1851"/>
      <c r="AE811" s="188"/>
      <c r="AF811" s="188"/>
      <c r="AG811" s="1866"/>
      <c r="AH811" s="1851"/>
      <c r="AO811" s="13"/>
      <c r="AP811" s="13"/>
    </row>
    <row r="812" spans="1:42" ht="36.75" thickBot="1">
      <c r="A812" s="187"/>
      <c r="B812" s="1164" t="s">
        <v>10</v>
      </c>
      <c r="C812" s="1165" t="s">
        <v>11</v>
      </c>
      <c r="D812" s="1166" t="s">
        <v>12</v>
      </c>
      <c r="E812" s="1166" t="s">
        <v>13</v>
      </c>
      <c r="F812" s="590" t="s">
        <v>14</v>
      </c>
      <c r="G812" s="1464" t="s">
        <v>15</v>
      </c>
      <c r="H812" s="592" t="s">
        <v>1090</v>
      </c>
      <c r="I812" s="592">
        <f>$C$19</f>
        <v>0.52</v>
      </c>
      <c r="J812" s="787">
        <f>$C$19</f>
        <v>0.52</v>
      </c>
      <c r="Q812" s="875" t="s">
        <v>1093</v>
      </c>
      <c r="R812" s="876" t="s">
        <v>1094</v>
      </c>
      <c r="S812" s="1264" t="s">
        <v>1095</v>
      </c>
      <c r="T812" s="1220" t="s">
        <v>1095</v>
      </c>
      <c r="U812" s="204" t="s">
        <v>1096</v>
      </c>
      <c r="V812" s="205" t="s">
        <v>1093</v>
      </c>
      <c r="W812" s="206" t="s">
        <v>1094</v>
      </c>
      <c r="X812" s="207" t="s">
        <v>1097</v>
      </c>
      <c r="Y812" s="208">
        <f>$X$767</f>
        <v>0.56999999999999995</v>
      </c>
      <c r="Z812" s="207" t="s">
        <v>1098</v>
      </c>
      <c r="AA812" s="209" t="s">
        <v>1099</v>
      </c>
      <c r="AB812" s="209" t="s">
        <v>1100</v>
      </c>
      <c r="AC812" s="210" t="s">
        <v>1300</v>
      </c>
      <c r="AD812" s="211" t="s">
        <v>1101</v>
      </c>
      <c r="AE812" s="209" t="s">
        <v>1102</v>
      </c>
      <c r="AF812" s="208" t="s">
        <v>1103</v>
      </c>
      <c r="AG812" s="1867" t="s">
        <v>1104</v>
      </c>
      <c r="AH812" s="213" t="s">
        <v>1116</v>
      </c>
      <c r="AJ812" s="483" t="s">
        <v>1107</v>
      </c>
      <c r="AK812" s="484" t="s">
        <v>1108</v>
      </c>
      <c r="AM812" s="219" t="s">
        <v>1175</v>
      </c>
      <c r="AN812" s="219" t="s">
        <v>1176</v>
      </c>
      <c r="AO812" s="13"/>
      <c r="AP812" s="13"/>
    </row>
    <row r="813" spans="1:42" ht="15.75" thickBot="1">
      <c r="A813" s="187"/>
      <c r="B813" s="1471" t="s">
        <v>596</v>
      </c>
      <c r="C813" s="1472"/>
      <c r="D813" s="1473">
        <v>960</v>
      </c>
      <c r="E813" s="1474">
        <v>1</v>
      </c>
      <c r="F813" s="1475">
        <v>30</v>
      </c>
      <c r="G813" s="1476">
        <v>300</v>
      </c>
      <c r="H813" s="1477">
        <f>G813*(1+$H$33)</f>
        <v>321</v>
      </c>
      <c r="I813" s="1477">
        <f>H813-H813*$J$770</f>
        <v>154.07999999999998</v>
      </c>
      <c r="J813" s="793">
        <f>G813-G813*$J$770</f>
        <v>144</v>
      </c>
      <c r="Q813" s="336">
        <v>2.9849999999999999</v>
      </c>
      <c r="R813" s="382">
        <f>Q813*$R$33</f>
        <v>140.393505</v>
      </c>
      <c r="S813" s="383">
        <f>((J813-R813)/J813)*100%</f>
        <v>2.5045104166666634E-2</v>
      </c>
      <c r="T813" s="1227">
        <f>((I813-R813)/I813)*100%</f>
        <v>8.882720015576312E-2</v>
      </c>
      <c r="U813" s="238">
        <v>2.0790000000000002</v>
      </c>
      <c r="V813" s="239">
        <f>U813*$U$747</f>
        <v>2.9417850000000003</v>
      </c>
      <c r="W813" s="239">
        <f>V813*$R$33</f>
        <v>138.36097390500001</v>
      </c>
      <c r="X813" s="240">
        <f>(ROUND(W813/(1-$AA$811),0))</f>
        <v>175</v>
      </c>
      <c r="Y813" s="239">
        <f>Z813*(1-$X$767)</f>
        <v>153.51000000000002</v>
      </c>
      <c r="Z813" s="240">
        <f>ROUND(X813/(1-$X$747),0)</f>
        <v>357</v>
      </c>
      <c r="AA813" s="241">
        <f>((X813-W813)/X813)*100%</f>
        <v>0.20936586339999996</v>
      </c>
      <c r="AB813" s="241">
        <f>((Y813-W813)/Y813)*100%</f>
        <v>9.8684294801641648E-2</v>
      </c>
      <c r="AC813" s="265">
        <f>((Y813/I813)-1)*100%</f>
        <v>-3.699376947040256E-3</v>
      </c>
      <c r="AD813" s="1004"/>
      <c r="AE813" s="238">
        <f>N813/$R$33</f>
        <v>0</v>
      </c>
      <c r="AF813" s="239">
        <f>(V813/(1-$AA$811))</f>
        <v>3.7237784810126584</v>
      </c>
      <c r="AG813" s="1868">
        <v>7.76</v>
      </c>
      <c r="AH813" s="244">
        <f>((AF813-V813)/AF813)*100%</f>
        <v>0.20999999999999996</v>
      </c>
      <c r="AJ813" s="1480">
        <f>[1]Статистика!D111</f>
        <v>1806</v>
      </c>
      <c r="AK813" s="76">
        <f>AJ813*Q813*S813</f>
        <v>135.01590250312481</v>
      </c>
      <c r="AM813" s="499">
        <f>AJ813/$AJ$816</f>
        <v>1.0505619284733694E-2</v>
      </c>
      <c r="AN813" s="499">
        <f>AK813/$AK$816</f>
        <v>5.8684132282659042E-2</v>
      </c>
      <c r="AO813" s="13"/>
      <c r="AP813" s="13"/>
    </row>
    <row r="814" spans="1:42" ht="15.75" thickBot="1">
      <c r="A814" s="187"/>
      <c r="B814" s="187"/>
      <c r="C814" s="620"/>
      <c r="D814" s="187"/>
      <c r="E814" s="187"/>
      <c r="G814" s="187"/>
      <c r="J814" s="622"/>
      <c r="AO814" s="13"/>
      <c r="AP814" s="13"/>
    </row>
    <row r="815" spans="1:42" ht="15.75" thickBot="1">
      <c r="A815" s="187"/>
      <c r="B815" s="187"/>
      <c r="C815" s="620"/>
      <c r="D815" s="187"/>
      <c r="E815" s="187"/>
      <c r="G815" s="187"/>
      <c r="J815" s="622"/>
      <c r="AI815" s="2335" t="s">
        <v>1339</v>
      </c>
      <c r="AJ815" s="2336"/>
      <c r="AK815" s="2336"/>
      <c r="AL815" s="2336"/>
      <c r="AM815" s="2336"/>
      <c r="AN815" s="2337"/>
      <c r="AO815" s="13"/>
      <c r="AP815" s="13"/>
    </row>
    <row r="816" spans="1:42" ht="33" customHeight="1" thickBot="1">
      <c r="A816" s="187"/>
      <c r="B816" s="187"/>
      <c r="C816" s="620"/>
      <c r="D816" s="187"/>
      <c r="E816" s="187"/>
      <c r="G816" s="187"/>
      <c r="J816" s="622"/>
      <c r="Q816" s="1856" t="s">
        <v>1133</v>
      </c>
      <c r="R816" s="830">
        <f>AVERAGE(S771,S776,S782:S783,S787,S792,S798,S803,S808,S813,S803,S808,S813)</f>
        <v>0.18030327270160834</v>
      </c>
      <c r="S816" s="892">
        <f>AVERAGE(T771,T776,T782:T783,T787,T792,T798,T803,T808,T813)</f>
        <v>0.20186171721749435</v>
      </c>
      <c r="U816" s="2350" t="s">
        <v>1340</v>
      </c>
      <c r="V816" s="2331"/>
      <c r="W816" s="2331"/>
      <c r="X816" s="2331"/>
      <c r="Y816" s="2331"/>
      <c r="Z816" s="2351"/>
      <c r="AA816" s="1144">
        <f>AVERAGE(AB771,AB776,AB782:AB783,AB787,AB792,AB798,AB803,AB808,AB813)</f>
        <v>0.19197641354425002</v>
      </c>
      <c r="AB816" s="1144">
        <f>AVERAGE(AB771,AB776,AB782:AB783,AB787,AB792,AB798,AB798,AB803,AB808,AB813)</f>
        <v>0.18424729083564781</v>
      </c>
      <c r="AC816" s="1144">
        <f>AVERAGE(AC771,AC776,AC782:AC783,AC787,AC792,AC798,AC803,AC808,AC813)</f>
        <v>1.1369501759922407E-2</v>
      </c>
      <c r="AD816" s="1144"/>
      <c r="AE816" s="1145"/>
      <c r="AF816" s="1145"/>
      <c r="AG816" s="1891"/>
      <c r="AH816" s="1146">
        <f>AVERAGE(AH771,AH776,AH782:AH783,AH787,AH792,AH798,AH803,AH808,AH813)</f>
        <v>0.27400000000000002</v>
      </c>
      <c r="AI816" s="838">
        <f>AVERAGE(S771,S776,AI784,S787,S792,S798,S803,S808,S813)</f>
        <v>0.17415662847274377</v>
      </c>
      <c r="AJ816" s="839">
        <f>SUM(AJ771,AJ776,AJ784,AJ787,AJ792,AJ798,AJ803,AJ808,AJ813)</f>
        <v>171908</v>
      </c>
      <c r="AK816" s="840">
        <f>SUM(AK771,AK776,AK784,AK787,AK792,AK798,AK803,AK808,AK813)</f>
        <v>2300.7224824046948</v>
      </c>
      <c r="AL816" s="841"/>
      <c r="AM816" s="842">
        <f>SUM(AM771,AM776,AM784,AM787,AM792,AM798,AM803,AM808,AM813)</f>
        <v>1</v>
      </c>
      <c r="AN816" s="842">
        <f>SUM(AN771,AN776,AN784,AN787,AN792,AN798,AN803,AN808,AN813)</f>
        <v>1</v>
      </c>
      <c r="AO816" s="13"/>
      <c r="AP816" s="13"/>
    </row>
    <row r="817" spans="1:42">
      <c r="AO817" s="13"/>
      <c r="AP817" s="13"/>
    </row>
    <row r="818" spans="1:42" ht="18.75">
      <c r="A818" s="834" t="s">
        <v>0</v>
      </c>
      <c r="B818" s="893"/>
      <c r="C818" s="1489"/>
      <c r="J818" s="532"/>
      <c r="K818" s="533"/>
      <c r="AO818" s="13"/>
      <c r="AP818" s="13"/>
    </row>
    <row r="819" spans="1:42">
      <c r="A819" s="157"/>
      <c r="J819" s="532"/>
      <c r="K819" s="533"/>
      <c r="AO819" s="13"/>
      <c r="AP819" s="13"/>
    </row>
    <row r="820" spans="1:42">
      <c r="A820" s="156" t="s">
        <v>1</v>
      </c>
      <c r="B820" s="157"/>
      <c r="F820" s="158" t="s">
        <v>1077</v>
      </c>
      <c r="G820" s="158"/>
      <c r="H820" s="159"/>
      <c r="I820" s="160"/>
      <c r="J820" s="541"/>
      <c r="K820" s="533"/>
      <c r="AO820" s="13"/>
      <c r="AP820" s="13"/>
    </row>
    <row r="821" spans="1:42" ht="42" customHeight="1">
      <c r="A821" s="2281" t="s">
        <v>561</v>
      </c>
      <c r="B821" s="2281"/>
      <c r="C821" s="2281"/>
      <c r="D821" s="2281"/>
      <c r="E821" s="2281"/>
      <c r="F821" s="2281"/>
      <c r="G821" s="2281"/>
      <c r="H821" s="623"/>
      <c r="I821" s="624"/>
      <c r="J821" s="1081"/>
      <c r="K821" s="533"/>
      <c r="AO821" s="13"/>
      <c r="AP821" s="13"/>
    </row>
    <row r="822" spans="1:42">
      <c r="A822" s="148"/>
      <c r="B822" s="1846"/>
      <c r="G822" s="1490" t="s">
        <v>1341</v>
      </c>
      <c r="H822" s="1491"/>
      <c r="I822" s="1492"/>
      <c r="J822" s="1493"/>
      <c r="K822" s="1490"/>
      <c r="L822" s="1490"/>
      <c r="M822" s="1490"/>
      <c r="N822" s="1490"/>
      <c r="O822" s="1853"/>
      <c r="P822" s="1853"/>
      <c r="Q822" s="1490"/>
      <c r="R822" s="1490"/>
      <c r="S822" s="1490"/>
      <c r="T822" s="1490"/>
      <c r="U822" s="1494"/>
      <c r="V822" s="1494"/>
      <c r="W822" s="1494"/>
      <c r="X822" s="1494"/>
      <c r="Y822" s="1494"/>
      <c r="Z822" s="1494"/>
      <c r="AA822" s="1490"/>
      <c r="AB822" s="1490"/>
      <c r="AC822" s="1490"/>
      <c r="AD822" s="1490"/>
      <c r="AE822" s="1494"/>
      <c r="AF822" s="1494"/>
      <c r="AG822" s="1898"/>
      <c r="AH822" s="1490"/>
      <c r="AI822" s="1490"/>
      <c r="AJ822" s="1495"/>
      <c r="AO822" s="13"/>
      <c r="AP822" s="13"/>
    </row>
    <row r="823" spans="1:42">
      <c r="A823" s="156" t="s">
        <v>2</v>
      </c>
      <c r="J823" s="532"/>
      <c r="K823" s="533"/>
      <c r="L823" s="8">
        <v>64</v>
      </c>
      <c r="M823" s="151">
        <f>L823*1.08</f>
        <v>69.12</v>
      </c>
      <c r="N823" s="10">
        <v>104</v>
      </c>
      <c r="O823" s="1496">
        <f>N823*1.08</f>
        <v>112.32000000000001</v>
      </c>
      <c r="P823" s="1496"/>
      <c r="Q823" s="153">
        <v>56</v>
      </c>
      <c r="R823" s="17">
        <f t="shared" ref="R823:R828" si="298">Q823*1.08</f>
        <v>60.480000000000004</v>
      </c>
      <c r="AO823" s="13"/>
      <c r="AP823" s="13"/>
    </row>
    <row r="824" spans="1:42">
      <c r="A824" s="148" t="s">
        <v>3</v>
      </c>
      <c r="B824" s="156"/>
      <c r="J824" s="532"/>
      <c r="K824" s="533"/>
      <c r="L824" s="8">
        <v>92</v>
      </c>
      <c r="M824" s="151">
        <f t="shared" ref="M824:O828" si="299">L824*1.08</f>
        <v>99.360000000000014</v>
      </c>
      <c r="N824" s="10">
        <v>195</v>
      </c>
      <c r="O824" s="1496">
        <f t="shared" si="299"/>
        <v>210.60000000000002</v>
      </c>
      <c r="P824" s="1496"/>
      <c r="Q824" s="153">
        <v>84</v>
      </c>
      <c r="R824" s="17">
        <f t="shared" si="298"/>
        <v>90.72</v>
      </c>
      <c r="AO824" s="13"/>
      <c r="AP824" s="13"/>
    </row>
    <row r="825" spans="1:42">
      <c r="A825" s="148" t="s">
        <v>1342</v>
      </c>
      <c r="J825" s="532"/>
      <c r="K825" s="533"/>
      <c r="L825" s="8">
        <v>178</v>
      </c>
      <c r="M825" s="151">
        <f t="shared" si="299"/>
        <v>192.24</v>
      </c>
      <c r="N825" s="10">
        <v>198</v>
      </c>
      <c r="O825" s="1496">
        <f t="shared" si="299"/>
        <v>213.84</v>
      </c>
      <c r="P825" s="1496"/>
      <c r="Q825" s="153">
        <v>142</v>
      </c>
      <c r="R825" s="17">
        <f t="shared" si="298"/>
        <v>153.36000000000001</v>
      </c>
      <c r="AO825" s="13"/>
      <c r="AP825" s="13"/>
    </row>
    <row r="826" spans="1:42">
      <c r="A826" s="148" t="s">
        <v>4</v>
      </c>
      <c r="J826" s="532"/>
      <c r="K826" s="533"/>
      <c r="L826" s="8">
        <v>394</v>
      </c>
      <c r="M826" s="151">
        <f t="shared" si="299"/>
        <v>425.52000000000004</v>
      </c>
      <c r="N826" s="10">
        <v>280</v>
      </c>
      <c r="O826" s="1496">
        <f t="shared" si="299"/>
        <v>302.40000000000003</v>
      </c>
      <c r="P826" s="1496"/>
      <c r="Q826" s="153">
        <v>304</v>
      </c>
      <c r="R826" s="17">
        <f t="shared" si="298"/>
        <v>328.32000000000005</v>
      </c>
      <c r="AO826" s="13"/>
      <c r="AP826" s="13"/>
    </row>
    <row r="827" spans="1:42">
      <c r="A827" s="148"/>
      <c r="J827" s="532"/>
      <c r="K827" s="533"/>
      <c r="L827" s="8">
        <v>475</v>
      </c>
      <c r="M827" s="151">
        <f t="shared" si="299"/>
        <v>513</v>
      </c>
      <c r="N827" s="10">
        <v>310</v>
      </c>
      <c r="O827" s="1496">
        <f t="shared" si="299"/>
        <v>334.8</v>
      </c>
      <c r="P827" s="1496"/>
      <c r="Q827" s="153">
        <v>433</v>
      </c>
      <c r="R827" s="17">
        <f t="shared" si="298"/>
        <v>467.64000000000004</v>
      </c>
      <c r="AO827" s="13"/>
      <c r="AP827" s="13"/>
    </row>
    <row r="828" spans="1:42">
      <c r="A828" s="156" t="s">
        <v>5</v>
      </c>
      <c r="J828" s="532"/>
      <c r="K828" s="533"/>
      <c r="L828" s="8">
        <v>736</v>
      </c>
      <c r="M828" s="151">
        <f t="shared" si="299"/>
        <v>794.88000000000011</v>
      </c>
      <c r="Q828" s="153">
        <v>754</v>
      </c>
      <c r="R828" s="17">
        <f t="shared" si="298"/>
        <v>814.32</v>
      </c>
      <c r="W828" s="1497" t="s">
        <v>1343</v>
      </c>
      <c r="X828" s="1497">
        <v>0.47</v>
      </c>
      <c r="AO828" s="13"/>
      <c r="AP828" s="13"/>
    </row>
    <row r="829" spans="1:42">
      <c r="A829" s="162" t="s">
        <v>6</v>
      </c>
      <c r="B829" s="156"/>
      <c r="J829" s="532"/>
      <c r="K829" s="533"/>
      <c r="X829" s="1026" t="s">
        <v>1344</v>
      </c>
      <c r="AA829" s="1498" t="s">
        <v>1345</v>
      </c>
      <c r="AO829" s="13"/>
      <c r="AP829" s="13"/>
    </row>
    <row r="830" spans="1:42">
      <c r="A830" s="162" t="s">
        <v>599</v>
      </c>
      <c r="B830" s="162"/>
      <c r="J830" s="532"/>
      <c r="K830" s="533"/>
      <c r="X830" s="1026">
        <f>$C$20</f>
        <v>0.49</v>
      </c>
      <c r="AA830" s="1499">
        <f>19%</f>
        <v>0.19</v>
      </c>
      <c r="AO830" s="13"/>
      <c r="AP830" s="13"/>
    </row>
    <row r="831" spans="1:42" ht="15.75" thickBot="1">
      <c r="A831" s="149" t="s">
        <v>7</v>
      </c>
      <c r="B831" s="162"/>
      <c r="C831" s="157" t="s">
        <v>8</v>
      </c>
      <c r="G831" s="1500">
        <v>0.08</v>
      </c>
      <c r="H831" s="1501"/>
      <c r="I831" s="1502"/>
      <c r="J831" s="532"/>
      <c r="K831" s="533"/>
      <c r="AO831" s="13"/>
      <c r="AP831" s="13"/>
    </row>
    <row r="832" spans="1:42" ht="15.75" thickBot="1">
      <c r="A832" s="187"/>
      <c r="B832" s="157"/>
      <c r="C832" s="148" t="s">
        <v>9</v>
      </c>
      <c r="J832" s="532"/>
      <c r="K832" s="2309" t="s">
        <v>1346</v>
      </c>
      <c r="L832" s="2309"/>
      <c r="M832" s="2309"/>
      <c r="N832" s="2309"/>
      <c r="O832" s="2309"/>
      <c r="P832" s="1850"/>
      <c r="Q832" s="2294" t="s">
        <v>1088</v>
      </c>
      <c r="R832" s="2295"/>
      <c r="S832" s="2296"/>
      <c r="T832" s="1851"/>
      <c r="U832" s="309"/>
      <c r="V832" s="309"/>
      <c r="W832" s="309"/>
      <c r="X832" s="309"/>
      <c r="Y832" s="309"/>
      <c r="Z832" s="309"/>
      <c r="AA832" s="346">
        <v>0.16</v>
      </c>
      <c r="AB832" s="1851"/>
      <c r="AC832" s="1851"/>
      <c r="AD832" s="1851"/>
      <c r="AE832" s="188"/>
      <c r="AF832" s="188"/>
      <c r="AG832" s="1866"/>
      <c r="AH832" s="1851"/>
      <c r="AO832" s="13"/>
      <c r="AP832" s="13"/>
    </row>
    <row r="833" spans="1:42" ht="60.75" thickBot="1">
      <c r="A833" s="187"/>
      <c r="B833" s="189" t="s">
        <v>10</v>
      </c>
      <c r="C833" s="190" t="s">
        <v>11</v>
      </c>
      <c r="D833" s="190" t="s">
        <v>12</v>
      </c>
      <c r="E833" s="190" t="s">
        <v>13</v>
      </c>
      <c r="F833" s="190" t="s">
        <v>14</v>
      </c>
      <c r="G833" s="191" t="s">
        <v>15</v>
      </c>
      <c r="H833" s="347" t="s">
        <v>1090</v>
      </c>
      <c r="I833" s="348">
        <f>$C$20</f>
        <v>0.49</v>
      </c>
      <c r="J833" s="873">
        <f>$C$20</f>
        <v>0.49</v>
      </c>
      <c r="K833" s="601" t="s">
        <v>15</v>
      </c>
      <c r="L833" s="315" t="s">
        <v>12</v>
      </c>
      <c r="M833" s="316" t="s">
        <v>1091</v>
      </c>
      <c r="N833" s="605" t="s">
        <v>993</v>
      </c>
      <c r="O833" s="1153" t="s">
        <v>1092</v>
      </c>
      <c r="P833" s="199" t="s">
        <v>1092</v>
      </c>
      <c r="Q833" s="200" t="s">
        <v>1093</v>
      </c>
      <c r="R833" s="201" t="s">
        <v>1094</v>
      </c>
      <c r="S833" s="350" t="s">
        <v>1095</v>
      </c>
      <c r="T833" s="203" t="s">
        <v>1095</v>
      </c>
      <c r="U833" s="204" t="s">
        <v>1096</v>
      </c>
      <c r="V833" s="205" t="s">
        <v>1093</v>
      </c>
      <c r="W833" s="206" t="s">
        <v>1094</v>
      </c>
      <c r="X833" s="207" t="s">
        <v>1097</v>
      </c>
      <c r="Y833" s="208">
        <f>$X$33</f>
        <v>0.49</v>
      </c>
      <c r="Z833" s="207" t="s">
        <v>1098</v>
      </c>
      <c r="AA833" s="209" t="s">
        <v>1099</v>
      </c>
      <c r="AB833" s="209" t="s">
        <v>1100</v>
      </c>
      <c r="AC833" s="210" t="s">
        <v>1092</v>
      </c>
      <c r="AD833" s="211" t="s">
        <v>1101</v>
      </c>
      <c r="AE833" s="212" t="s">
        <v>1102</v>
      </c>
      <c r="AF833" s="208" t="s">
        <v>1103</v>
      </c>
      <c r="AG833" s="1867" t="s">
        <v>1104</v>
      </c>
      <c r="AH833" s="213" t="s">
        <v>1105</v>
      </c>
      <c r="AI833" s="220" t="s">
        <v>1106</v>
      </c>
      <c r="AJ833" s="483" t="s">
        <v>1107</v>
      </c>
      <c r="AK833" s="484" t="s">
        <v>1108</v>
      </c>
      <c r="AL833" s="221" t="s">
        <v>1109</v>
      </c>
      <c r="AM833" s="221" t="s">
        <v>1175</v>
      </c>
      <c r="AN833" s="221" t="s">
        <v>1176</v>
      </c>
      <c r="AO833" s="13"/>
      <c r="AP833" s="13"/>
    </row>
    <row r="834" spans="1:42" ht="15.75">
      <c r="A834" s="271"/>
      <c r="B834" s="1503" t="s">
        <v>189</v>
      </c>
      <c r="C834" s="1504" t="s">
        <v>190</v>
      </c>
      <c r="D834" s="1505">
        <v>74</v>
      </c>
      <c r="E834" s="1505">
        <v>10</v>
      </c>
      <c r="F834" s="1505">
        <v>180</v>
      </c>
      <c r="G834" s="425">
        <v>69</v>
      </c>
      <c r="H834" s="397">
        <f t="shared" ref="H834:H839" si="300">G834*(1+$H$33)</f>
        <v>73.83</v>
      </c>
      <c r="I834" s="397">
        <f t="shared" ref="I834:I839" si="301">H834-H834*$J$833</f>
        <v>37.653300000000002</v>
      </c>
      <c r="J834" s="1506">
        <f t="shared" ref="J834:J839" si="302">G834-G834*$J$833</f>
        <v>35.19</v>
      </c>
      <c r="K834" s="1507">
        <v>106</v>
      </c>
      <c r="L834" s="1508">
        <v>96</v>
      </c>
      <c r="M834" s="1509">
        <f t="shared" ref="M834:M839" si="303">L834/D834*100%</f>
        <v>1.2972972972972974</v>
      </c>
      <c r="N834" s="609">
        <f t="shared" ref="N834:N839" si="304">K834-(K834*$O$33)</f>
        <v>53</v>
      </c>
      <c r="O834" s="1510">
        <f t="shared" ref="O834:O839" si="305">(N834/J834)-1</f>
        <v>0.50610969025291275</v>
      </c>
      <c r="P834" s="1511">
        <f t="shared" ref="P834:P839" si="306">((N834/I834)-1)*100%</f>
        <v>0.40757914976907728</v>
      </c>
      <c r="Q834" s="1512">
        <v>0.86</v>
      </c>
      <c r="R834" s="561">
        <f t="shared" ref="R834:R839" si="307">Q834*$R$33</f>
        <v>40.44838</v>
      </c>
      <c r="S834" s="562">
        <f t="shared" ref="S834:S839" si="308">((J834-R834)/J834)*100%</f>
        <v>-0.14942824666098331</v>
      </c>
      <c r="T834" s="237">
        <f t="shared" ref="T834:T839" si="309">((I834-R834)/I834)*100%</f>
        <v>-7.4232006225217931E-2</v>
      </c>
      <c r="U834" s="238">
        <v>0.72692999999999997</v>
      </c>
      <c r="V834" s="239">
        <f t="shared" ref="V834:V839" si="310">U834*$X$31</f>
        <v>0.87231599999999998</v>
      </c>
      <c r="W834" s="239">
        <f t="shared" ref="W834:W839" si="311">V834*$R$33</f>
        <v>41.027638428000003</v>
      </c>
      <c r="X834" s="240">
        <f t="shared" ref="X834:X839" si="312">(ROUND(W834/(1-$AA$832),0))</f>
        <v>49</v>
      </c>
      <c r="Y834" s="239">
        <f t="shared" ref="Y834:Y839" si="313">Z834*(1-$X$33)</f>
        <v>46.92</v>
      </c>
      <c r="Z834" s="240">
        <f t="shared" ref="Z834:Z839" si="314">ROUND(X834/(1-$X$828),0)</f>
        <v>92</v>
      </c>
      <c r="AA834" s="241">
        <f t="shared" ref="AA834:AA839" si="315">((X834-W834)/X834)*100%</f>
        <v>0.1627012565714285</v>
      </c>
      <c r="AB834" s="241">
        <f t="shared" ref="AB834:AB839" si="316">((Y834-W834)/Y834)*100%</f>
        <v>0.12558315370843987</v>
      </c>
      <c r="AC834" s="242">
        <f t="shared" ref="AC834:AC839" si="317">((N834/Y834)-1)*100%</f>
        <v>0.1295822676896845</v>
      </c>
      <c r="AD834" s="243">
        <f t="shared" ref="AD834:AD839" si="318">((N834*0.96-W834)/(N834*0.96))*100%</f>
        <v>0.1936391818396225</v>
      </c>
      <c r="AE834" s="238">
        <f t="shared" ref="AE834:AE839" si="319">N834/$R$33</f>
        <v>1.1268683690174983</v>
      </c>
      <c r="AF834" s="239">
        <f t="shared" ref="AF834:AF839" si="320">(V834/(1-$AA$832))</f>
        <v>1.0384714285714285</v>
      </c>
      <c r="AG834" s="1868">
        <v>1.96</v>
      </c>
      <c r="AH834" s="244">
        <f t="shared" ref="AH834:AH839" si="321">((AF834-V834)/AF834)*100%</f>
        <v>0.15999999999999995</v>
      </c>
      <c r="AI834" s="92">
        <f t="shared" ref="AI834:AI839" si="322">AJ834/$AJ$840</f>
        <v>0.63225524127779764</v>
      </c>
      <c r="AJ834" s="338">
        <f>[1]Статистика!D339</f>
        <v>15893</v>
      </c>
      <c r="AK834" s="297">
        <f t="shared" ref="AK834:AK839" si="323">Q834*S834*AJ834</f>
        <v>-2042.3822867973865</v>
      </c>
      <c r="AL834" s="866">
        <f t="shared" ref="AL834:AL839" si="324">AK834/$AK$840</f>
        <v>0.33065583822056033</v>
      </c>
      <c r="AM834" s="92">
        <f t="shared" ref="AM834:AM839" si="325">AJ834/$AJ$1101</f>
        <v>2.1357109741922047E-2</v>
      </c>
      <c r="AN834" s="92">
        <f t="shared" ref="AN834:AN839" si="326">AK834/$AK$1101</f>
        <v>2.6786629843540043E-2</v>
      </c>
      <c r="AO834" s="13"/>
      <c r="AP834" s="13"/>
    </row>
    <row r="835" spans="1:42" ht="15.75">
      <c r="A835" s="187"/>
      <c r="B835" s="1513" t="s">
        <v>191</v>
      </c>
      <c r="C835" s="925" t="s">
        <v>192</v>
      </c>
      <c r="D835" s="926">
        <v>124</v>
      </c>
      <c r="E835" s="926">
        <v>8</v>
      </c>
      <c r="F835" s="926">
        <v>120</v>
      </c>
      <c r="G835" s="433">
        <v>99</v>
      </c>
      <c r="H835" s="504">
        <f t="shared" si="300"/>
        <v>105.93</v>
      </c>
      <c r="I835" s="504">
        <f t="shared" si="301"/>
        <v>54.024300000000004</v>
      </c>
      <c r="J835" s="1514">
        <f t="shared" si="302"/>
        <v>50.49</v>
      </c>
      <c r="K835" s="1515">
        <v>155</v>
      </c>
      <c r="L835" s="929">
        <v>136</v>
      </c>
      <c r="M835" s="1516">
        <f t="shared" si="303"/>
        <v>1.096774193548387</v>
      </c>
      <c r="N835" s="931">
        <f t="shared" si="304"/>
        <v>77.5</v>
      </c>
      <c r="O835" s="1510">
        <f t="shared" si="305"/>
        <v>0.5349574173103584</v>
      </c>
      <c r="P835" s="1517">
        <f t="shared" si="306"/>
        <v>0.43453964234612941</v>
      </c>
      <c r="Q835" s="1518">
        <v>1.37</v>
      </c>
      <c r="R835" s="650">
        <f t="shared" si="307"/>
        <v>64.435210000000012</v>
      </c>
      <c r="S835" s="1519">
        <f t="shared" si="308"/>
        <v>-0.27619746484452384</v>
      </c>
      <c r="T835" s="260">
        <f t="shared" si="309"/>
        <v>-0.19270791106964844</v>
      </c>
      <c r="U835" s="261">
        <v>1.151465</v>
      </c>
      <c r="V835" s="239">
        <f t="shared" si="310"/>
        <v>1.3817579999999998</v>
      </c>
      <c r="W835" s="262">
        <f t="shared" si="311"/>
        <v>64.988224013999996</v>
      </c>
      <c r="X835" s="240">
        <f t="shared" si="312"/>
        <v>77</v>
      </c>
      <c r="Y835" s="239">
        <f t="shared" si="313"/>
        <v>73.95</v>
      </c>
      <c r="Z835" s="240">
        <f t="shared" si="314"/>
        <v>145</v>
      </c>
      <c r="AA835" s="264">
        <f t="shared" si="315"/>
        <v>0.15599709072727277</v>
      </c>
      <c r="AB835" s="241">
        <f t="shared" si="316"/>
        <v>0.12118696397565931</v>
      </c>
      <c r="AC835" s="242">
        <f t="shared" si="317"/>
        <v>4.8005409060175808E-2</v>
      </c>
      <c r="AD835" s="266">
        <f t="shared" si="318"/>
        <v>0.12650236540322576</v>
      </c>
      <c r="AE835" s="261">
        <f t="shared" si="319"/>
        <v>1.6477792188463418</v>
      </c>
      <c r="AF835" s="239">
        <f t="shared" si="320"/>
        <v>1.6449499999999999</v>
      </c>
      <c r="AG835" s="1868">
        <v>3.1</v>
      </c>
      <c r="AH835" s="267">
        <f t="shared" si="321"/>
        <v>0.16000000000000006</v>
      </c>
      <c r="AI835" s="77">
        <f t="shared" si="322"/>
        <v>0.18371325138242431</v>
      </c>
      <c r="AJ835" s="333">
        <f>[1]Статистика!D340</f>
        <v>4618</v>
      </c>
      <c r="AK835" s="270">
        <f t="shared" si="323"/>
        <v>-1747.4074529332554</v>
      </c>
      <c r="AL835" s="506">
        <f t="shared" si="324"/>
        <v>0.28290025809444325</v>
      </c>
      <c r="AM835" s="77">
        <f t="shared" si="325"/>
        <v>6.205696393896433E-3</v>
      </c>
      <c r="AN835" s="77">
        <f t="shared" si="326"/>
        <v>2.2917921355929637E-2</v>
      </c>
      <c r="AO835" s="13"/>
      <c r="AP835" s="13"/>
    </row>
    <row r="836" spans="1:42" ht="15.75">
      <c r="A836" s="187"/>
      <c r="B836" s="249" t="s">
        <v>193</v>
      </c>
      <c r="C836" s="250" t="s">
        <v>194</v>
      </c>
      <c r="D836" s="251">
        <v>223</v>
      </c>
      <c r="E836" s="251">
        <v>8</v>
      </c>
      <c r="F836" s="251">
        <v>80</v>
      </c>
      <c r="G836" s="433">
        <v>192</v>
      </c>
      <c r="H836" s="504">
        <f t="shared" si="300"/>
        <v>205.44</v>
      </c>
      <c r="I836" s="504">
        <f t="shared" si="301"/>
        <v>104.7744</v>
      </c>
      <c r="J836" s="1272">
        <f t="shared" si="302"/>
        <v>97.92</v>
      </c>
      <c r="K836" s="398">
        <v>281</v>
      </c>
      <c r="L836" s="322">
        <v>262</v>
      </c>
      <c r="M836" s="335">
        <f t="shared" si="303"/>
        <v>1.1748878923766817</v>
      </c>
      <c r="N836" s="765">
        <f t="shared" si="304"/>
        <v>140.5</v>
      </c>
      <c r="O836" s="1510">
        <f t="shared" si="305"/>
        <v>0.43484477124182996</v>
      </c>
      <c r="P836" s="1517">
        <f t="shared" si="306"/>
        <v>0.34097642172133646</v>
      </c>
      <c r="Q836" s="703">
        <v>2.48</v>
      </c>
      <c r="R836" s="258">
        <f t="shared" si="307"/>
        <v>116.64184</v>
      </c>
      <c r="S836" s="259">
        <f t="shared" si="308"/>
        <v>-0.19119526143790849</v>
      </c>
      <c r="T836" s="260">
        <f t="shared" si="309"/>
        <v>-0.11326659947468086</v>
      </c>
      <c r="U836" s="261">
        <v>2.085245</v>
      </c>
      <c r="V836" s="239">
        <f t="shared" si="310"/>
        <v>2.502294</v>
      </c>
      <c r="W836" s="262">
        <f t="shared" si="311"/>
        <v>117.69039370200001</v>
      </c>
      <c r="X836" s="240">
        <f t="shared" si="312"/>
        <v>140</v>
      </c>
      <c r="Y836" s="239">
        <f t="shared" si="313"/>
        <v>134.64000000000001</v>
      </c>
      <c r="Z836" s="240">
        <f t="shared" si="314"/>
        <v>264</v>
      </c>
      <c r="AA836" s="264">
        <f t="shared" si="315"/>
        <v>0.15935433069999994</v>
      </c>
      <c r="AB836" s="241">
        <f t="shared" si="316"/>
        <v>0.12588834148841357</v>
      </c>
      <c r="AC836" s="242">
        <f t="shared" si="317"/>
        <v>4.3523469994058095E-2</v>
      </c>
      <c r="AD836" s="266">
        <f t="shared" si="318"/>
        <v>0.1274437003113878</v>
      </c>
      <c r="AE836" s="261">
        <f t="shared" si="319"/>
        <v>2.9872642612633684</v>
      </c>
      <c r="AF836" s="239">
        <f t="shared" si="320"/>
        <v>2.9789214285714287</v>
      </c>
      <c r="AG836" s="1868">
        <v>5.62</v>
      </c>
      <c r="AH836" s="267">
        <f t="shared" si="321"/>
        <v>0.16000000000000003</v>
      </c>
      <c r="AI836" s="77">
        <f t="shared" si="322"/>
        <v>0.12754107490949596</v>
      </c>
      <c r="AJ836" s="333">
        <f>[1]Статистика!D341</f>
        <v>3206</v>
      </c>
      <c r="AK836" s="270">
        <f t="shared" si="323"/>
        <v>-1520.1705802614379</v>
      </c>
      <c r="AL836" s="506">
        <f t="shared" si="324"/>
        <v>0.24611125973031256</v>
      </c>
      <c r="AM836" s="77">
        <f t="shared" si="325"/>
        <v>4.3082422344807199E-3</v>
      </c>
      <c r="AN836" s="77">
        <f t="shared" si="326"/>
        <v>1.9937622302999461E-2</v>
      </c>
      <c r="AO836" s="13"/>
      <c r="AP836" s="13"/>
    </row>
    <row r="837" spans="1:42" ht="15.75">
      <c r="A837" s="187"/>
      <c r="B837" s="1391" t="s">
        <v>1347</v>
      </c>
      <c r="C837" s="376" t="s">
        <v>1348</v>
      </c>
      <c r="D837" s="377">
        <v>460</v>
      </c>
      <c r="E837" s="377">
        <v>5</v>
      </c>
      <c r="F837" s="377">
        <v>30</v>
      </c>
      <c r="G837" s="1520">
        <v>426</v>
      </c>
      <c r="H837" s="504">
        <f t="shared" si="300"/>
        <v>455.82000000000005</v>
      </c>
      <c r="I837" s="504">
        <f t="shared" si="301"/>
        <v>232.46820000000002</v>
      </c>
      <c r="J837" s="1272">
        <f t="shared" si="302"/>
        <v>217.26</v>
      </c>
      <c r="K837" s="398">
        <v>555</v>
      </c>
      <c r="L837" s="322">
        <v>459</v>
      </c>
      <c r="M837" s="323">
        <f t="shared" si="303"/>
        <v>0.99782608695652175</v>
      </c>
      <c r="N837" s="765">
        <f t="shared" si="304"/>
        <v>277.5</v>
      </c>
      <c r="O837" s="1521">
        <f t="shared" si="305"/>
        <v>0.27727147196906943</v>
      </c>
      <c r="P837" s="1522">
        <f t="shared" si="306"/>
        <v>0.19371165604585916</v>
      </c>
      <c r="Q837" s="702">
        <v>5.09</v>
      </c>
      <c r="R837" s="258">
        <f t="shared" si="307"/>
        <v>239.39796999999999</v>
      </c>
      <c r="S837" s="259">
        <f t="shared" si="308"/>
        <v>-0.10189620730921475</v>
      </c>
      <c r="T837" s="260">
        <f t="shared" si="309"/>
        <v>-2.9809539541322046E-2</v>
      </c>
      <c r="U837" s="261">
        <f>Q837/1.2</f>
        <v>4.2416666666666671</v>
      </c>
      <c r="V837" s="239">
        <f t="shared" si="310"/>
        <v>5.0900000000000007</v>
      </c>
      <c r="W837" s="262">
        <f t="shared" si="311"/>
        <v>239.39797000000004</v>
      </c>
      <c r="X837" s="240">
        <f t="shared" si="312"/>
        <v>285</v>
      </c>
      <c r="Y837" s="239">
        <f t="shared" si="313"/>
        <v>274.38</v>
      </c>
      <c r="Z837" s="240">
        <f t="shared" si="314"/>
        <v>538</v>
      </c>
      <c r="AA837" s="264">
        <f t="shared" si="315"/>
        <v>0.1600071228070174</v>
      </c>
      <c r="AB837" s="241">
        <f t="shared" si="316"/>
        <v>0.12749482469567736</v>
      </c>
      <c r="AC837" s="242">
        <f t="shared" si="317"/>
        <v>1.1371091187404314E-2</v>
      </c>
      <c r="AD837" s="266">
        <f t="shared" si="318"/>
        <v>0.10135897147147123</v>
      </c>
      <c r="AE837" s="261">
        <f t="shared" si="319"/>
        <v>5.9001126868369012</v>
      </c>
      <c r="AF837" s="239">
        <f t="shared" si="320"/>
        <v>6.0595238095238102</v>
      </c>
      <c r="AG837" s="1868">
        <v>11.43</v>
      </c>
      <c r="AH837" s="267">
        <f t="shared" si="321"/>
        <v>0.15999999999999998</v>
      </c>
      <c r="AI837" s="77">
        <f t="shared" si="322"/>
        <v>2.6455026455026454E-2</v>
      </c>
      <c r="AJ837" s="333">
        <f>[1]Статистика!D342</f>
        <v>665</v>
      </c>
      <c r="AK837" s="270">
        <f t="shared" si="323"/>
        <v>-344.90337731059554</v>
      </c>
      <c r="AL837" s="506">
        <f t="shared" si="324"/>
        <v>5.5838868201587996E-2</v>
      </c>
      <c r="AM837" s="77">
        <f t="shared" si="325"/>
        <v>8.9363103116958166E-4</v>
      </c>
      <c r="AN837" s="77">
        <f t="shared" si="326"/>
        <v>4.5235405533666775E-3</v>
      </c>
      <c r="AO837" s="13"/>
      <c r="AP837" s="13"/>
    </row>
    <row r="838" spans="1:42" ht="15.75">
      <c r="A838" s="187"/>
      <c r="B838" s="1513" t="s">
        <v>1349</v>
      </c>
      <c r="C838" s="925" t="s">
        <v>1350</v>
      </c>
      <c r="D838" s="926">
        <v>555</v>
      </c>
      <c r="E838" s="926">
        <v>5</v>
      </c>
      <c r="F838" s="926">
        <v>30</v>
      </c>
      <c r="G838" s="433">
        <v>513</v>
      </c>
      <c r="H838" s="504">
        <f t="shared" si="300"/>
        <v>548.91000000000008</v>
      </c>
      <c r="I838" s="504">
        <f t="shared" si="301"/>
        <v>279.94410000000005</v>
      </c>
      <c r="J838" s="1514">
        <f t="shared" si="302"/>
        <v>261.63</v>
      </c>
      <c r="K838" s="1515">
        <v>662</v>
      </c>
      <c r="L838" s="929">
        <v>551</v>
      </c>
      <c r="M838" s="495">
        <f t="shared" si="303"/>
        <v>0.99279279279279276</v>
      </c>
      <c r="N838" s="931">
        <f t="shared" si="304"/>
        <v>331</v>
      </c>
      <c r="O838" s="1521">
        <f t="shared" si="305"/>
        <v>0.26514543439208049</v>
      </c>
      <c r="P838" s="1522">
        <f t="shared" si="306"/>
        <v>0.18237891064680389</v>
      </c>
      <c r="Q838" s="1518">
        <v>6.1670454545454554</v>
      </c>
      <c r="R838" s="650">
        <f t="shared" si="307"/>
        <v>290.05464886363643</v>
      </c>
      <c r="S838" s="933">
        <f t="shared" si="308"/>
        <v>-0.1086444553898117</v>
      </c>
      <c r="T838" s="260">
        <f t="shared" si="309"/>
        <v>-3.6116313448421949E-2</v>
      </c>
      <c r="U838" s="261">
        <f>Q838/1.2</f>
        <v>5.1392045454545467</v>
      </c>
      <c r="V838" s="239">
        <f t="shared" si="310"/>
        <v>6.1670454545454563</v>
      </c>
      <c r="W838" s="262">
        <f t="shared" si="311"/>
        <v>290.05464886363643</v>
      </c>
      <c r="X838" s="240">
        <f t="shared" si="312"/>
        <v>345</v>
      </c>
      <c r="Y838" s="239">
        <f t="shared" si="313"/>
        <v>332.01</v>
      </c>
      <c r="Z838" s="240">
        <f t="shared" si="314"/>
        <v>651</v>
      </c>
      <c r="AA838" s="264">
        <f t="shared" si="315"/>
        <v>0.15926188735177846</v>
      </c>
      <c r="AB838" s="241">
        <f t="shared" si="316"/>
        <v>0.12636773331033271</v>
      </c>
      <c r="AC838" s="242">
        <f t="shared" si="317"/>
        <v>-3.0420770458721158E-3</v>
      </c>
      <c r="AD838" s="266">
        <f t="shared" si="318"/>
        <v>8.7189549145152201E-2</v>
      </c>
      <c r="AE838" s="261">
        <f t="shared" si="319"/>
        <v>7.037611889524376</v>
      </c>
      <c r="AF838" s="239">
        <f t="shared" si="320"/>
        <v>7.3417207792207817</v>
      </c>
      <c r="AG838" s="1868">
        <v>13.85</v>
      </c>
      <c r="AH838" s="267">
        <f t="shared" si="321"/>
        <v>0.16000000000000006</v>
      </c>
      <c r="AI838" s="77">
        <f t="shared" si="322"/>
        <v>1.8458845526514698E-2</v>
      </c>
      <c r="AJ838" s="333">
        <f>[1]Статистика!D343</f>
        <v>464</v>
      </c>
      <c r="AK838" s="270">
        <f t="shared" si="323"/>
        <v>-310.88709677481336</v>
      </c>
      <c r="AL838" s="506">
        <f t="shared" si="324"/>
        <v>5.0331729882570342E-2</v>
      </c>
      <c r="AM838" s="77">
        <f t="shared" si="325"/>
        <v>6.2352601272584339E-4</v>
      </c>
      <c r="AN838" s="77">
        <f t="shared" si="326"/>
        <v>4.0774039406197976E-3</v>
      </c>
      <c r="AO838" s="13"/>
      <c r="AP838" s="13"/>
    </row>
    <row r="839" spans="1:42" ht="16.5" thickBot="1">
      <c r="A839" s="187"/>
      <c r="B839" s="274" t="s">
        <v>1351</v>
      </c>
      <c r="C839" s="275" t="s">
        <v>1352</v>
      </c>
      <c r="D839" s="276">
        <v>840</v>
      </c>
      <c r="E839" s="276">
        <v>5</v>
      </c>
      <c r="F839" s="276">
        <v>15</v>
      </c>
      <c r="G839" s="916">
        <v>795</v>
      </c>
      <c r="H839" s="504">
        <f t="shared" si="300"/>
        <v>850.65000000000009</v>
      </c>
      <c r="I839" s="504">
        <f t="shared" si="301"/>
        <v>433.83150000000006</v>
      </c>
      <c r="J839" s="1523">
        <f t="shared" si="302"/>
        <v>405.45</v>
      </c>
      <c r="K839" s="1524">
        <v>1027</v>
      </c>
      <c r="L839" s="341">
        <v>840</v>
      </c>
      <c r="M839" s="896">
        <f t="shared" si="303"/>
        <v>1</v>
      </c>
      <c r="N839" s="767">
        <f t="shared" si="304"/>
        <v>513.5</v>
      </c>
      <c r="O839" s="1521">
        <f t="shared" si="305"/>
        <v>0.26649401899124436</v>
      </c>
      <c r="P839" s="1525">
        <f t="shared" si="306"/>
        <v>0.18363927008527492</v>
      </c>
      <c r="Q839" s="716">
        <v>9.293181818181818</v>
      </c>
      <c r="R839" s="285">
        <f t="shared" si="307"/>
        <v>437.08622045454547</v>
      </c>
      <c r="S839" s="286">
        <f t="shared" si="308"/>
        <v>-7.8027427437527386E-2</v>
      </c>
      <c r="T839" s="287">
        <f t="shared" si="309"/>
        <v>-7.5022686332029973E-3</v>
      </c>
      <c r="U839" s="261">
        <f>Q839/1.2</f>
        <v>7.7443181818181817</v>
      </c>
      <c r="V839" s="239">
        <f t="shared" si="310"/>
        <v>9.293181818181818</v>
      </c>
      <c r="W839" s="289">
        <f t="shared" si="311"/>
        <v>437.08622045454547</v>
      </c>
      <c r="X839" s="240">
        <f t="shared" si="312"/>
        <v>520</v>
      </c>
      <c r="Y839" s="291">
        <f t="shared" si="313"/>
        <v>500.31</v>
      </c>
      <c r="Z839" s="240">
        <f t="shared" si="314"/>
        <v>981</v>
      </c>
      <c r="AA839" s="292">
        <f t="shared" si="315"/>
        <v>0.15944957604895102</v>
      </c>
      <c r="AB839" s="241">
        <f t="shared" si="316"/>
        <v>0.1263692101805971</v>
      </c>
      <c r="AC839" s="345">
        <f t="shared" si="317"/>
        <v>2.6363654534188763E-2</v>
      </c>
      <c r="AD839" s="294">
        <f t="shared" si="318"/>
        <v>0.11334343465079218</v>
      </c>
      <c r="AE839" s="288">
        <f t="shared" si="319"/>
        <v>10.917866179065761</v>
      </c>
      <c r="AF839" s="239">
        <f t="shared" si="320"/>
        <v>11.063311688311689</v>
      </c>
      <c r="AG839" s="1868">
        <v>20.88</v>
      </c>
      <c r="AH839" s="295">
        <f t="shared" si="321"/>
        <v>0.16000000000000009</v>
      </c>
      <c r="AI839" s="77">
        <f t="shared" si="322"/>
        <v>1.15765604487409E-2</v>
      </c>
      <c r="AJ839" s="333">
        <f>[1]Статистика!D344</f>
        <v>291</v>
      </c>
      <c r="AK839" s="270">
        <f t="shared" si="323"/>
        <v>-211.01081336474181</v>
      </c>
      <c r="AL839" s="506">
        <f t="shared" si="324"/>
        <v>3.4162045870525418E-2</v>
      </c>
      <c r="AM839" s="77">
        <f t="shared" si="325"/>
        <v>3.9104756401556125E-4</v>
      </c>
      <c r="AN839" s="77">
        <f t="shared" si="326"/>
        <v>2.7674880393958202E-3</v>
      </c>
      <c r="AO839" s="13"/>
      <c r="AP839" s="13"/>
    </row>
    <row r="840" spans="1:42" ht="16.5" thickBot="1">
      <c r="A840" s="149" t="s">
        <v>1353</v>
      </c>
      <c r="C840" s="157" t="s">
        <v>17</v>
      </c>
      <c r="J840" s="532"/>
      <c r="K840" s="533"/>
      <c r="P840" s="1325"/>
      <c r="Q840" s="1091"/>
      <c r="R840" s="1092"/>
      <c r="S840" s="364"/>
      <c r="T840" s="364"/>
      <c r="U840" s="872"/>
      <c r="V840" s="872"/>
      <c r="W840" s="872"/>
      <c r="X840" s="872"/>
      <c r="Y840" s="872"/>
      <c r="Z840" s="872"/>
      <c r="AA840" s="364"/>
      <c r="AB840" s="364"/>
      <c r="AC840" s="364"/>
      <c r="AD840" s="364">
        <f>AVERAGE(AD834:AD839)</f>
        <v>0.12491286713694195</v>
      </c>
      <c r="AE840" s="872"/>
      <c r="AF840" s="872"/>
      <c r="AG840" s="1882"/>
      <c r="AH840" s="364"/>
      <c r="AI840" s="512">
        <f>S834*AI834+S835*AI835+S836*AI836+S837*AI837+S838*AI838+S839*AI839</f>
        <v>-0.17520758290769683</v>
      </c>
      <c r="AJ840" s="513">
        <f>SUM(AJ834:AJ839)</f>
        <v>25137</v>
      </c>
      <c r="AK840" s="514">
        <f>SUM(AK834:AK839)</f>
        <v>-6176.7616074422313</v>
      </c>
      <c r="AM840" s="307">
        <f>SUM(AM834:AM839)</f>
        <v>3.3779252978210182E-2</v>
      </c>
      <c r="AN840" s="307">
        <f>SUM(AN834:AN839)</f>
        <v>8.1010606035851432E-2</v>
      </c>
      <c r="AO840" s="13"/>
      <c r="AP840" s="13"/>
    </row>
    <row r="841" spans="1:42" ht="15.75" thickBot="1">
      <c r="A841" s="187"/>
      <c r="B841" s="157"/>
      <c r="C841" s="148" t="s">
        <v>9</v>
      </c>
      <c r="J841" s="532"/>
      <c r="K841" s="2309" t="s">
        <v>1354</v>
      </c>
      <c r="L841" s="2309"/>
      <c r="M841" s="2309"/>
      <c r="N841" s="2309"/>
      <c r="O841" s="2309"/>
      <c r="P841" s="1852"/>
      <c r="T841" s="1851"/>
      <c r="U841" s="309"/>
      <c r="V841" s="309"/>
      <c r="W841" s="309"/>
      <c r="X841" s="309"/>
      <c r="Y841" s="309"/>
      <c r="Z841" s="346">
        <v>0.18</v>
      </c>
      <c r="AA841" s="346">
        <v>0.11</v>
      </c>
      <c r="AB841" s="628">
        <v>0.16</v>
      </c>
      <c r="AC841" s="1851"/>
      <c r="AD841" s="1851"/>
      <c r="AE841" s="188"/>
      <c r="AF841" s="188"/>
      <c r="AG841" s="1866"/>
      <c r="AH841" s="1851"/>
      <c r="AO841" s="13"/>
      <c r="AP841" s="13"/>
    </row>
    <row r="842" spans="1:42" ht="60.75" thickBot="1">
      <c r="A842" s="187"/>
      <c r="B842" s="189" t="s">
        <v>10</v>
      </c>
      <c r="C842" s="190" t="s">
        <v>11</v>
      </c>
      <c r="D842" s="190" t="s">
        <v>12</v>
      </c>
      <c r="E842" s="190" t="s">
        <v>13</v>
      </c>
      <c r="F842" s="190" t="s">
        <v>14</v>
      </c>
      <c r="G842" s="191" t="s">
        <v>15</v>
      </c>
      <c r="H842" s="347" t="s">
        <v>1090</v>
      </c>
      <c r="I842" s="347">
        <f>$C$20</f>
        <v>0.49</v>
      </c>
      <c r="J842" s="873">
        <f>$C$20</f>
        <v>0.49</v>
      </c>
      <c r="K842" s="601" t="s">
        <v>15</v>
      </c>
      <c r="L842" s="315" t="s">
        <v>12</v>
      </c>
      <c r="M842" s="316" t="s">
        <v>1091</v>
      </c>
      <c r="N842" s="605" t="s">
        <v>993</v>
      </c>
      <c r="O842" s="1153" t="s">
        <v>1092</v>
      </c>
      <c r="P842" s="696" t="s">
        <v>1092</v>
      </c>
      <c r="Q842" s="752" t="s">
        <v>1093</v>
      </c>
      <c r="R842" s="201" t="s">
        <v>1094</v>
      </c>
      <c r="S842" s="350" t="s">
        <v>1095</v>
      </c>
      <c r="T842" s="203" t="s">
        <v>1095</v>
      </c>
      <c r="U842" s="204" t="s">
        <v>1096</v>
      </c>
      <c r="V842" s="205" t="s">
        <v>1093</v>
      </c>
      <c r="W842" s="206" t="s">
        <v>1094</v>
      </c>
      <c r="X842" s="207" t="s">
        <v>1097</v>
      </c>
      <c r="Y842" s="208">
        <f>$X$33</f>
        <v>0.49</v>
      </c>
      <c r="Z842" s="207" t="s">
        <v>1098</v>
      </c>
      <c r="AA842" s="209" t="s">
        <v>1099</v>
      </c>
      <c r="AB842" s="209" t="s">
        <v>1100</v>
      </c>
      <c r="AC842" s="210" t="s">
        <v>1092</v>
      </c>
      <c r="AD842" s="211" t="s">
        <v>1101</v>
      </c>
      <c r="AE842" s="212" t="s">
        <v>1102</v>
      </c>
      <c r="AF842" s="208" t="s">
        <v>1103</v>
      </c>
      <c r="AG842" s="1867" t="s">
        <v>1104</v>
      </c>
      <c r="AH842" s="213" t="s">
        <v>1105</v>
      </c>
      <c r="AI842" s="220" t="s">
        <v>1106</v>
      </c>
      <c r="AJ842" s="483" t="s">
        <v>1107</v>
      </c>
      <c r="AK842" s="484" t="s">
        <v>1108</v>
      </c>
      <c r="AL842" s="221" t="s">
        <v>1109</v>
      </c>
      <c r="AM842" s="221" t="s">
        <v>1175</v>
      </c>
      <c r="AN842" s="221" t="s">
        <v>1176</v>
      </c>
      <c r="AO842" s="13"/>
      <c r="AP842" s="13"/>
    </row>
    <row r="843" spans="1:42" ht="15.75">
      <c r="A843" s="187"/>
      <c r="B843" s="1503" t="s">
        <v>195</v>
      </c>
      <c r="C843" s="1504" t="s">
        <v>196</v>
      </c>
      <c r="D843" s="1505">
        <v>132</v>
      </c>
      <c r="E843" s="1505">
        <v>8</v>
      </c>
      <c r="F843" s="1505">
        <v>120</v>
      </c>
      <c r="G843" s="1526">
        <v>112</v>
      </c>
      <c r="H843" s="1527">
        <f>G843*(1+$H$33)</f>
        <v>119.84</v>
      </c>
      <c r="I843" s="1527">
        <f t="shared" ref="I843:I848" si="327">H843-H843*$J$833</f>
        <v>61.118400000000001</v>
      </c>
      <c r="J843" s="1528">
        <f>G843-G843*$J$833</f>
        <v>57.120000000000005</v>
      </c>
      <c r="K843" s="1529">
        <v>167</v>
      </c>
      <c r="L843" s="1508">
        <v>145</v>
      </c>
      <c r="M843" s="1530">
        <f t="shared" ref="M843:M848" si="328">L843/D843*100%</f>
        <v>1.0984848484848484</v>
      </c>
      <c r="N843" s="561">
        <f t="shared" ref="N843:N848" si="329">K843-(K843*$O$33)</f>
        <v>83.5</v>
      </c>
      <c r="O843" s="1531">
        <f>((N843/J843)-1)*100%</f>
        <v>0.46183473389355734</v>
      </c>
      <c r="P843" s="472">
        <f t="shared" ref="P843:P848" si="330">((N843/I843)-1)*100%</f>
        <v>0.36620068588182941</v>
      </c>
      <c r="Q843" s="1512">
        <v>1.39</v>
      </c>
      <c r="R843" s="561">
        <f t="shared" ref="R843:R848" si="331">Q843*$R$33</f>
        <v>65.375869999999992</v>
      </c>
      <c r="S843" s="562">
        <f>((J843-R843)/J843)*100%</f>
        <v>-0.14453553921568604</v>
      </c>
      <c r="T843" s="237">
        <f t="shared" ref="T843:T848" si="332">((I843-R843)/I843)*100%</f>
        <v>-6.9659382444566459E-2</v>
      </c>
      <c r="U843" s="238">
        <v>1.17018</v>
      </c>
      <c r="V843" s="239">
        <f t="shared" ref="V843:V848" si="333">U843*$X$31</f>
        <v>1.4042159999999999</v>
      </c>
      <c r="W843" s="239">
        <f t="shared" ref="W843:W848" si="334">V843*$R$33</f>
        <v>66.044491128000004</v>
      </c>
      <c r="X843" s="240">
        <f>(ROUND(W843/(1-$Z$841),0))</f>
        <v>81</v>
      </c>
      <c r="Y843" s="239">
        <f t="shared" ref="Y843:Y848" si="335">Z843*(1-$X$33)</f>
        <v>78.03</v>
      </c>
      <c r="Z843" s="240">
        <f t="shared" ref="Z843:Z848" si="336">ROUND(X843/(1-$X$828),0)</f>
        <v>153</v>
      </c>
      <c r="AA843" s="241">
        <f t="shared" ref="AA843:AA848" si="337">((X843-W843)/X843)*100%</f>
        <v>0.18463591199999996</v>
      </c>
      <c r="AB843" s="241">
        <f t="shared" ref="AB843:AB848" si="338">((Y843-W843)/Y843)*100%</f>
        <v>0.15360129273356396</v>
      </c>
      <c r="AC843" s="242">
        <f t="shared" ref="AC843:AC848" si="339">((N843/Y843)-1)*100%</f>
        <v>7.010124311162369E-2</v>
      </c>
      <c r="AD843" s="243">
        <f t="shared" ref="AD843:AD848" si="340">((N843*0.96-W843)/(N843*0.96))*100%</f>
        <v>0.17609167754491009</v>
      </c>
      <c r="AE843" s="238">
        <f t="shared" ref="AE843:AE848" si="341">N843/$R$33</f>
        <v>1.7753492228860588</v>
      </c>
      <c r="AF843" s="239">
        <f>(V843/(1-$Z$841))</f>
        <v>1.7124585365853655</v>
      </c>
      <c r="AG843" s="1868">
        <v>3.23</v>
      </c>
      <c r="AH843" s="244">
        <f t="shared" ref="AH843:AH848" si="342">((AF843-V843)/AF843)*100%</f>
        <v>0.17999999999999988</v>
      </c>
      <c r="AI843" s="92">
        <f>AJ843/$AJ$848</f>
        <v>0.45472159902100756</v>
      </c>
      <c r="AJ843" s="338">
        <f>[1]Статистика!D345</f>
        <v>4459</v>
      </c>
      <c r="AK843" s="297">
        <f>Q843*S843*AJ843</f>
        <v>-895.83271741421424</v>
      </c>
      <c r="AL843" s="866">
        <f>AK843/$AK$848</f>
        <v>0.18315854523191588</v>
      </c>
      <c r="AM843" s="92">
        <f>AJ843/$AJ$1101</f>
        <v>5.9920312300528787E-3</v>
      </c>
      <c r="AN843" s="92">
        <f>AK843/$AK$1101</f>
        <v>1.1749190912116302E-2</v>
      </c>
      <c r="AO843" s="13"/>
      <c r="AP843" s="13"/>
    </row>
    <row r="844" spans="1:42" ht="15.75">
      <c r="A844" s="187"/>
      <c r="B844" s="1391" t="s">
        <v>197</v>
      </c>
      <c r="C844" s="376" t="s">
        <v>198</v>
      </c>
      <c r="D844" s="377">
        <v>226</v>
      </c>
      <c r="E844" s="377">
        <v>8</v>
      </c>
      <c r="F844" s="377">
        <v>80</v>
      </c>
      <c r="G844" s="1532">
        <v>195</v>
      </c>
      <c r="H844" s="1533">
        <f>G844*(1+$H$33)</f>
        <v>208.65</v>
      </c>
      <c r="I844" s="1533">
        <f t="shared" si="327"/>
        <v>106.4115</v>
      </c>
      <c r="J844" s="690">
        <f>G844-G844*$J$833</f>
        <v>99.45</v>
      </c>
      <c r="K844" s="912">
        <v>237</v>
      </c>
      <c r="L844" s="322">
        <v>190</v>
      </c>
      <c r="M844" s="385">
        <f t="shared" si="328"/>
        <v>0.84070796460176989</v>
      </c>
      <c r="N844" s="382">
        <f t="shared" si="329"/>
        <v>118.5</v>
      </c>
      <c r="O844" s="383">
        <f>((N844/J844)-1)*100%</f>
        <v>0.19155354449472095</v>
      </c>
      <c r="P844" s="964">
        <f t="shared" si="330"/>
        <v>0.11360144345301015</v>
      </c>
      <c r="Q844" s="702">
        <v>2.4554474708171203</v>
      </c>
      <c r="R844" s="258">
        <f t="shared" si="331"/>
        <v>115.48706089494162</v>
      </c>
      <c r="S844" s="259">
        <f>((J844-R844)/J844)*100%</f>
        <v>-0.16125752533877946</v>
      </c>
      <c r="T844" s="260">
        <f t="shared" si="332"/>
        <v>-8.5287406858672393E-2</v>
      </c>
      <c r="U844" s="261">
        <v>2.0645600000000002</v>
      </c>
      <c r="V844" s="239">
        <f t="shared" si="333"/>
        <v>2.4774720000000001</v>
      </c>
      <c r="W844" s="262">
        <f t="shared" si="334"/>
        <v>116.52294057600001</v>
      </c>
      <c r="X844" s="240">
        <f>(ROUND(W844/(1-$AA$841),0))</f>
        <v>131</v>
      </c>
      <c r="Y844" s="239">
        <f t="shared" si="335"/>
        <v>125.97</v>
      </c>
      <c r="Z844" s="240">
        <f t="shared" si="336"/>
        <v>247</v>
      </c>
      <c r="AA844" s="264">
        <f t="shared" si="337"/>
        <v>0.11051190399999992</v>
      </c>
      <c r="AB844" s="241">
        <f t="shared" si="338"/>
        <v>7.4994517932841065E-2</v>
      </c>
      <c r="AC844" s="265">
        <f t="shared" si="339"/>
        <v>-5.9299833293641302E-2</v>
      </c>
      <c r="AD844" s="266">
        <f t="shared" si="340"/>
        <v>-2.4287452320675279E-2</v>
      </c>
      <c r="AE844" s="261">
        <f t="shared" si="341"/>
        <v>2.5195075797844066</v>
      </c>
      <c r="AF844" s="239">
        <f>(V844/(1-$AA$841))</f>
        <v>2.7836764044943823</v>
      </c>
      <c r="AG844" s="1868">
        <v>5.25</v>
      </c>
      <c r="AH844" s="267">
        <f t="shared" si="342"/>
        <v>0.11000000000000003</v>
      </c>
      <c r="AI844" s="77">
        <f>AJ844/$AJ$848</f>
        <v>9.0250866816234954E-2</v>
      </c>
      <c r="AJ844" s="333">
        <f>[1]Статистика!D346</f>
        <v>885</v>
      </c>
      <c r="AK844" s="270">
        <f>Q844*S844*AJ844</f>
        <v>-350.42405372785032</v>
      </c>
      <c r="AL844" s="506">
        <f>AK844/$AK$848</f>
        <v>7.1646367281969728E-2</v>
      </c>
      <c r="AM844" s="77">
        <f>AJ844/$AJ$1101</f>
        <v>1.1892683647895935E-3</v>
      </c>
      <c r="AN844" s="77">
        <f>AK844/$AK$1101</f>
        <v>4.595946349593422E-3</v>
      </c>
      <c r="AO844" s="13"/>
      <c r="AP844" s="13"/>
    </row>
    <row r="845" spans="1:42" ht="15.75">
      <c r="A845" s="271"/>
      <c r="B845" s="1534" t="s">
        <v>199</v>
      </c>
      <c r="C845" s="925" t="s">
        <v>200</v>
      </c>
      <c r="D845" s="926">
        <v>240</v>
      </c>
      <c r="E845" s="926">
        <v>8</v>
      </c>
      <c r="F845" s="926">
        <v>80</v>
      </c>
      <c r="G845" s="1535">
        <v>198</v>
      </c>
      <c r="H845" s="1533">
        <f>G845*(1+$H$33)</f>
        <v>211.86</v>
      </c>
      <c r="I845" s="1533">
        <f t="shared" si="327"/>
        <v>108.04860000000001</v>
      </c>
      <c r="J845" s="1536">
        <f>G845-G845*$J$833</f>
        <v>100.98</v>
      </c>
      <c r="K845" s="1007">
        <v>260</v>
      </c>
      <c r="L845" s="929">
        <v>220</v>
      </c>
      <c r="M845" s="495">
        <f t="shared" si="328"/>
        <v>0.91666666666666663</v>
      </c>
      <c r="N845" s="496">
        <f t="shared" si="329"/>
        <v>130</v>
      </c>
      <c r="O845" s="598">
        <f>((N845/J845)-1)*100%</f>
        <v>0.28738364032481667</v>
      </c>
      <c r="P845" s="472">
        <f t="shared" si="330"/>
        <v>0.20316228067739872</v>
      </c>
      <c r="Q845" s="1537">
        <v>2.565232</v>
      </c>
      <c r="R845" s="650">
        <f t="shared" si="331"/>
        <v>120.65055665600001</v>
      </c>
      <c r="S845" s="933">
        <f>((J845-R845)/J845)*100%</f>
        <v>-0.19479656026936029</v>
      </c>
      <c r="T845" s="260">
        <f t="shared" si="332"/>
        <v>-0.11663229931715911</v>
      </c>
      <c r="U845" s="261">
        <v>2.1502549999999996</v>
      </c>
      <c r="V845" s="239">
        <f t="shared" si="333"/>
        <v>2.5803059999999993</v>
      </c>
      <c r="W845" s="262">
        <f t="shared" si="334"/>
        <v>121.35953209799997</v>
      </c>
      <c r="X845" s="240">
        <f>(ROUND(W845/(1-$AA$841),0))</f>
        <v>136</v>
      </c>
      <c r="Y845" s="239">
        <f t="shared" si="335"/>
        <v>131.07</v>
      </c>
      <c r="Z845" s="240">
        <f t="shared" si="336"/>
        <v>257</v>
      </c>
      <c r="AA845" s="264">
        <f t="shared" si="337"/>
        <v>0.10765049927941195</v>
      </c>
      <c r="AB845" s="241">
        <f t="shared" si="338"/>
        <v>7.4086121171893032E-2</v>
      </c>
      <c r="AC845" s="1198">
        <f t="shared" si="339"/>
        <v>-8.1635767147325566E-3</v>
      </c>
      <c r="AD845" s="266">
        <f t="shared" si="340"/>
        <v>2.7567851778846339E-2</v>
      </c>
      <c r="AE845" s="261">
        <f t="shared" si="341"/>
        <v>2.7640167541938636</v>
      </c>
      <c r="AF845" s="239">
        <f>(V845/(1-$AA$841))</f>
        <v>2.8992202247191003</v>
      </c>
      <c r="AG845" s="1868">
        <f>AF845/(1-$X$828)</f>
        <v>5.4702268390926418</v>
      </c>
      <c r="AH845" s="267">
        <f t="shared" si="342"/>
        <v>0.11</v>
      </c>
      <c r="AI845" s="77">
        <f>AJ845/$AJ$848</f>
        <v>4.5992249643075668E-2</v>
      </c>
      <c r="AJ845" s="333">
        <f>[1]Статистика!D347</f>
        <v>451</v>
      </c>
      <c r="AK845" s="270">
        <f>Q845*S845*AJ845</f>
        <v>-225.36396482169411</v>
      </c>
      <c r="AL845" s="506">
        <f>AK845/$AK$848</f>
        <v>4.6077057850246371E-2</v>
      </c>
      <c r="AM845" s="77">
        <f>AJ845/$AJ$1101</f>
        <v>6.0605653392102447E-4</v>
      </c>
      <c r="AN845" s="77">
        <f>AK845/$AK$1101</f>
        <v>2.9557351455575817E-3</v>
      </c>
      <c r="AO845" s="13"/>
      <c r="AP845" s="13"/>
    </row>
    <row r="846" spans="1:42" ht="15.75">
      <c r="A846" s="187"/>
      <c r="B846" s="1534" t="s">
        <v>201</v>
      </c>
      <c r="C846" s="925" t="s">
        <v>202</v>
      </c>
      <c r="D846" s="926">
        <v>310</v>
      </c>
      <c r="E846" s="926">
        <v>5</v>
      </c>
      <c r="F846" s="926">
        <v>30</v>
      </c>
      <c r="G846" s="1535">
        <v>302</v>
      </c>
      <c r="H846" s="1533">
        <f>G846*(1+$H$33)</f>
        <v>323.14000000000004</v>
      </c>
      <c r="I846" s="1533">
        <f t="shared" si="327"/>
        <v>164.80140000000003</v>
      </c>
      <c r="J846" s="1536">
        <f>G846-G846*$J$833</f>
        <v>154.02000000000001</v>
      </c>
      <c r="K846" s="1007">
        <v>454</v>
      </c>
      <c r="L846" s="929">
        <v>368</v>
      </c>
      <c r="M846" s="1008">
        <f t="shared" si="328"/>
        <v>1.1870967741935483</v>
      </c>
      <c r="N846" s="496">
        <f t="shared" si="329"/>
        <v>227</v>
      </c>
      <c r="O846" s="598">
        <f>((N846/J846)-1)*100%</f>
        <v>0.47383456693935844</v>
      </c>
      <c r="P846" s="472">
        <f t="shared" si="330"/>
        <v>0.37741548312089557</v>
      </c>
      <c r="Q846" s="1518">
        <v>3.861901408450704</v>
      </c>
      <c r="R846" s="650">
        <f t="shared" si="331"/>
        <v>181.63680894366198</v>
      </c>
      <c r="S846" s="1519">
        <f>((J846-R846)/J846)*100%</f>
        <v>-0.17930664162876225</v>
      </c>
      <c r="T846" s="260">
        <f t="shared" si="332"/>
        <v>-0.10215573983996461</v>
      </c>
      <c r="U846" s="261">
        <v>3.2170100000000001</v>
      </c>
      <c r="V846" s="239">
        <f t="shared" si="333"/>
        <v>3.8604120000000002</v>
      </c>
      <c r="W846" s="262">
        <f t="shared" si="334"/>
        <v>181.566757596</v>
      </c>
      <c r="X846" s="240">
        <f>(ROUND(W846/(1-$AB$841),0))</f>
        <v>216</v>
      </c>
      <c r="Y846" s="239">
        <f t="shared" si="335"/>
        <v>208.08</v>
      </c>
      <c r="Z846" s="240">
        <f t="shared" si="336"/>
        <v>408</v>
      </c>
      <c r="AA846" s="264">
        <f t="shared" si="337"/>
        <v>0.15941315927777777</v>
      </c>
      <c r="AB846" s="241">
        <f t="shared" si="338"/>
        <v>0.12741850444059982</v>
      </c>
      <c r="AC846" s="242">
        <f t="shared" si="339"/>
        <v>9.0926566705113343E-2</v>
      </c>
      <c r="AD846" s="266">
        <f t="shared" si="340"/>
        <v>0.16681921073788541</v>
      </c>
      <c r="AE846" s="261">
        <f t="shared" si="341"/>
        <v>4.8263984861692855</v>
      </c>
      <c r="AF846" s="239">
        <f>(V846/(1-$AB$841))</f>
        <v>4.5957285714285714</v>
      </c>
      <c r="AG846" s="1868">
        <v>8.67</v>
      </c>
      <c r="AH846" s="267">
        <f t="shared" si="342"/>
        <v>0.15999999999999995</v>
      </c>
      <c r="AI846" s="77">
        <f>AJ846/$AJ$848</f>
        <v>1.6928411176830513E-2</v>
      </c>
      <c r="AJ846" s="333">
        <f>[1]Статистика!D348</f>
        <v>166</v>
      </c>
      <c r="AK846" s="270">
        <f>Q846*S846*AJ846</f>
        <v>-114.94911892721331</v>
      </c>
      <c r="AL846" s="506">
        <f>AK846/$AK$848</f>
        <v>2.3502059021878734E-2</v>
      </c>
      <c r="AM846" s="77">
        <f>AJ846/$AJ$1101</f>
        <v>2.2307180627691812E-4</v>
      </c>
      <c r="AN846" s="77">
        <f>AK846/$AK$1101</f>
        <v>1.5076019408553488E-3</v>
      </c>
      <c r="AO846" s="13"/>
      <c r="AP846" s="13"/>
    </row>
    <row r="847" spans="1:42" ht="16.5" thickBot="1">
      <c r="A847" s="187"/>
      <c r="B847" s="401" t="s">
        <v>203</v>
      </c>
      <c r="C847" s="402" t="s">
        <v>204</v>
      </c>
      <c r="D847" s="403">
        <v>342</v>
      </c>
      <c r="E847" s="403">
        <v>5</v>
      </c>
      <c r="F847" s="403">
        <v>30</v>
      </c>
      <c r="G847" s="1538">
        <v>335</v>
      </c>
      <c r="H847" s="1539">
        <f>G847*(1+$H$33)</f>
        <v>358.45000000000005</v>
      </c>
      <c r="I847" s="1539">
        <f t="shared" si="327"/>
        <v>182.80950000000001</v>
      </c>
      <c r="J847" s="1540">
        <f>G847-G847*$J$833</f>
        <v>170.85</v>
      </c>
      <c r="K847" s="1014">
        <v>485</v>
      </c>
      <c r="L847" s="406">
        <v>390</v>
      </c>
      <c r="M847" s="407">
        <f t="shared" si="328"/>
        <v>1.1403508771929824</v>
      </c>
      <c r="N847" s="408">
        <f t="shared" si="329"/>
        <v>242.5</v>
      </c>
      <c r="O847" s="411">
        <f>((N847/J847)-1)*100%</f>
        <v>0.41937371963710857</v>
      </c>
      <c r="P847" s="472">
        <f t="shared" si="330"/>
        <v>0.32651749498795191</v>
      </c>
      <c r="Q847" s="1518">
        <v>4.350196078431372</v>
      </c>
      <c r="R847" s="650">
        <f t="shared" si="331"/>
        <v>204.60277215686273</v>
      </c>
      <c r="S847" s="1519">
        <f>((J847-R847)/J847)*100%</f>
        <v>-0.197557928925155</v>
      </c>
      <c r="T847" s="260">
        <f t="shared" si="332"/>
        <v>-0.11921301768706064</v>
      </c>
      <c r="U847" s="261">
        <v>3.5233449999999999</v>
      </c>
      <c r="V847" s="239">
        <f t="shared" si="333"/>
        <v>4.2280139999999999</v>
      </c>
      <c r="W847" s="262">
        <f t="shared" si="334"/>
        <v>198.85618246199999</v>
      </c>
      <c r="X847" s="240">
        <f>(ROUND(W847/(1-$AB$841),0))</f>
        <v>237</v>
      </c>
      <c r="Y847" s="239">
        <f t="shared" si="335"/>
        <v>227.97</v>
      </c>
      <c r="Z847" s="240">
        <f t="shared" si="336"/>
        <v>447</v>
      </c>
      <c r="AA847" s="264">
        <f t="shared" si="337"/>
        <v>0.1609443777974684</v>
      </c>
      <c r="AB847" s="241">
        <f t="shared" si="338"/>
        <v>0.12770898599815769</v>
      </c>
      <c r="AC847" s="242">
        <f t="shared" si="339"/>
        <v>6.3736456551300558E-2</v>
      </c>
      <c r="AD847" s="266">
        <f t="shared" si="340"/>
        <v>0.14580677636597936</v>
      </c>
      <c r="AE847" s="261">
        <f t="shared" si="341"/>
        <v>5.1559543299385533</v>
      </c>
      <c r="AF847" s="239">
        <f>(V847/(1-$AB$841))</f>
        <v>5.0333500000000004</v>
      </c>
      <c r="AG847" s="1868">
        <v>9.5</v>
      </c>
      <c r="AH847" s="267">
        <f t="shared" si="342"/>
        <v>0.16000000000000009</v>
      </c>
      <c r="AI847" s="77">
        <f>AJ847/$AJ$848</f>
        <v>0.39210687334285133</v>
      </c>
      <c r="AJ847" s="333">
        <f>[1]Статистика!D349</f>
        <v>3845</v>
      </c>
      <c r="AK847" s="270">
        <f>Q847*S847*AJ847</f>
        <v>-3304.4534729035809</v>
      </c>
      <c r="AL847" s="506">
        <f>AK847/$AK$848</f>
        <v>0.67561597061398937</v>
      </c>
      <c r="AM847" s="77">
        <f>AJ847/$AJ$1101</f>
        <v>5.1669343080406639E-3</v>
      </c>
      <c r="AN847" s="77">
        <f>AK847/$AK$1101</f>
        <v>4.3339179244776566E-2</v>
      </c>
      <c r="AO847" s="13"/>
      <c r="AP847" s="13"/>
    </row>
    <row r="848" spans="1:42" ht="16.5" thickBot="1">
      <c r="A848" s="187"/>
      <c r="B848" s="359" t="s">
        <v>869</v>
      </c>
      <c r="C848" s="789" t="s">
        <v>868</v>
      </c>
      <c r="D848" s="790">
        <v>320</v>
      </c>
      <c r="E848" s="790">
        <v>5</v>
      </c>
      <c r="F848" s="276">
        <v>30</v>
      </c>
      <c r="G848" s="1541"/>
      <c r="H848" s="1542">
        <v>377</v>
      </c>
      <c r="I848" s="1543">
        <f t="shared" si="327"/>
        <v>192.27</v>
      </c>
      <c r="J848" s="1042"/>
      <c r="K848" s="1014">
        <v>416</v>
      </c>
      <c r="L848" s="406">
        <v>344</v>
      </c>
      <c r="M848" s="407">
        <f t="shared" si="328"/>
        <v>1.075</v>
      </c>
      <c r="N848" s="408">
        <f t="shared" si="329"/>
        <v>208</v>
      </c>
      <c r="O848" s="411"/>
      <c r="P848" s="472">
        <f t="shared" si="330"/>
        <v>8.1812035158891128E-2</v>
      </c>
      <c r="Q848" s="1518">
        <v>3.7256639999999996</v>
      </c>
      <c r="R848" s="650">
        <f t="shared" si="331"/>
        <v>175.22915491199998</v>
      </c>
      <c r="S848" s="1519"/>
      <c r="T848" s="260">
        <f t="shared" si="332"/>
        <v>8.8629765891714909E-2</v>
      </c>
      <c r="U848" s="261">
        <v>3.1047199999999999</v>
      </c>
      <c r="V848" s="239">
        <f t="shared" si="333"/>
        <v>3.7256639999999996</v>
      </c>
      <c r="W848" s="262">
        <f t="shared" si="334"/>
        <v>175.22915491199998</v>
      </c>
      <c r="X848" s="240">
        <f>(ROUND(W848/(1-$AB$841),0))</f>
        <v>209</v>
      </c>
      <c r="Y848" s="239">
        <f t="shared" si="335"/>
        <v>200.94</v>
      </c>
      <c r="Z848" s="240">
        <f t="shared" si="336"/>
        <v>394</v>
      </c>
      <c r="AA848" s="264">
        <f t="shared" si="337"/>
        <v>0.16158299085167471</v>
      </c>
      <c r="AB848" s="241">
        <f t="shared" si="338"/>
        <v>0.12795284705882359</v>
      </c>
      <c r="AC848" s="242">
        <f t="shared" si="339"/>
        <v>3.513486612919281E-2</v>
      </c>
      <c r="AD848" s="266">
        <f t="shared" si="340"/>
        <v>0.12245014567307703</v>
      </c>
      <c r="AE848" s="261">
        <f t="shared" si="341"/>
        <v>4.422426806710182</v>
      </c>
      <c r="AF848" s="239">
        <f>(V848/(1-$AB$841))</f>
        <v>4.4353142857142851</v>
      </c>
      <c r="AG848" s="1868">
        <v>8.3699999999999992</v>
      </c>
      <c r="AH848" s="267">
        <f t="shared" si="342"/>
        <v>0.15999999999999998</v>
      </c>
      <c r="AI848" s="512">
        <f>S843*AI843+S844*AI844+S845*AI845+S846*AI846+S847*AI847</f>
        <v>-0.16973539335066704</v>
      </c>
      <c r="AJ848" s="513">
        <f>SUM(AJ843:AJ847)</f>
        <v>9806</v>
      </c>
      <c r="AK848" s="514">
        <f>SUM(AK843:AK847)</f>
        <v>-4891.0233277945526</v>
      </c>
      <c r="AM848" s="307">
        <f>SUM(AM843:AM847)</f>
        <v>1.3177362243081079E-2</v>
      </c>
      <c r="AN848" s="307">
        <f>SUM(AN843:AN847)</f>
        <v>6.4147653592899229E-2</v>
      </c>
      <c r="AO848" s="13"/>
      <c r="AP848" s="13"/>
    </row>
    <row r="849" spans="1:42">
      <c r="A849" s="149" t="s">
        <v>703</v>
      </c>
      <c r="C849" s="157" t="s">
        <v>704</v>
      </c>
      <c r="J849" s="532"/>
      <c r="K849" s="533"/>
      <c r="AD849" s="364">
        <f>AVERAGE(AD843:AD848)</f>
        <v>0.10240803496333716</v>
      </c>
      <c r="AE849" s="872"/>
      <c r="AO849" s="13"/>
      <c r="AP849" s="13"/>
    </row>
    <row r="850" spans="1:42" ht="15.75" thickBot="1">
      <c r="A850" s="187"/>
      <c r="C850" s="148" t="s">
        <v>9</v>
      </c>
      <c r="J850" s="532"/>
      <c r="K850" s="2309" t="s">
        <v>1355</v>
      </c>
      <c r="L850" s="2309"/>
      <c r="M850" s="2309"/>
      <c r="N850" s="2309"/>
      <c r="O850" s="2309"/>
      <c r="P850" s="1852"/>
      <c r="T850" s="1851"/>
      <c r="U850" s="309"/>
      <c r="V850" s="309"/>
      <c r="W850" s="309"/>
      <c r="X850" s="309"/>
      <c r="Y850" s="309"/>
      <c r="Z850" s="346"/>
      <c r="AA850" s="346">
        <v>0.28000000000000003</v>
      </c>
      <c r="AB850" s="628">
        <v>0.15</v>
      </c>
      <c r="AC850" s="628">
        <v>0.19</v>
      </c>
      <c r="AD850" s="1851"/>
      <c r="AE850" s="188"/>
      <c r="AF850" s="188"/>
      <c r="AG850" s="1866"/>
      <c r="AH850" s="1851"/>
      <c r="AO850" s="13"/>
      <c r="AP850" s="13"/>
    </row>
    <row r="851" spans="1:42" ht="60.75" thickBot="1">
      <c r="A851" s="187"/>
      <c r="B851" s="189" t="s">
        <v>10</v>
      </c>
      <c r="C851" s="190" t="s">
        <v>11</v>
      </c>
      <c r="D851" s="190" t="s">
        <v>12</v>
      </c>
      <c r="E851" s="190" t="s">
        <v>13</v>
      </c>
      <c r="F851" s="190" t="s">
        <v>14</v>
      </c>
      <c r="G851" s="191" t="s">
        <v>15</v>
      </c>
      <c r="H851" s="347" t="s">
        <v>1090</v>
      </c>
      <c r="I851" s="347">
        <f>$C$20</f>
        <v>0.49</v>
      </c>
      <c r="J851" s="873">
        <f>$C$20</f>
        <v>0.49</v>
      </c>
      <c r="K851" s="601" t="s">
        <v>15</v>
      </c>
      <c r="L851" s="315" t="s">
        <v>12</v>
      </c>
      <c r="M851" s="316" t="s">
        <v>1091</v>
      </c>
      <c r="N851" s="605" t="s">
        <v>993</v>
      </c>
      <c r="O851" s="1153" t="s">
        <v>1092</v>
      </c>
      <c r="P851" s="602" t="s">
        <v>1092</v>
      </c>
      <c r="Q851" s="200" t="s">
        <v>1093</v>
      </c>
      <c r="R851" s="201" t="s">
        <v>1094</v>
      </c>
      <c r="S851" s="350" t="s">
        <v>1095</v>
      </c>
      <c r="T851" s="203" t="s">
        <v>1095</v>
      </c>
      <c r="U851" s="204" t="s">
        <v>1096</v>
      </c>
      <c r="V851" s="205" t="s">
        <v>1093</v>
      </c>
      <c r="W851" s="206" t="s">
        <v>1094</v>
      </c>
      <c r="X851" s="207" t="s">
        <v>1097</v>
      </c>
      <c r="Y851" s="208">
        <f>$X$33</f>
        <v>0.49</v>
      </c>
      <c r="Z851" s="207" t="s">
        <v>1098</v>
      </c>
      <c r="AA851" s="209" t="s">
        <v>1099</v>
      </c>
      <c r="AB851" s="209" t="s">
        <v>1100</v>
      </c>
      <c r="AC851" s="210" t="s">
        <v>1092</v>
      </c>
      <c r="AD851" s="211" t="s">
        <v>1101</v>
      </c>
      <c r="AE851" s="212" t="s">
        <v>1102</v>
      </c>
      <c r="AF851" s="208" t="s">
        <v>1103</v>
      </c>
      <c r="AG851" s="1867" t="s">
        <v>1104</v>
      </c>
      <c r="AH851" s="213" t="s">
        <v>1105</v>
      </c>
      <c r="AI851" s="220" t="s">
        <v>1106</v>
      </c>
      <c r="AJ851" s="483" t="s">
        <v>1107</v>
      </c>
      <c r="AK851" s="484" t="s">
        <v>1108</v>
      </c>
      <c r="AL851" s="221" t="s">
        <v>1109</v>
      </c>
      <c r="AM851" s="221" t="s">
        <v>1175</v>
      </c>
      <c r="AN851" s="221" t="s">
        <v>1176</v>
      </c>
      <c r="AO851" s="13"/>
      <c r="AP851" s="13"/>
    </row>
    <row r="852" spans="1:42" ht="15.75">
      <c r="A852" s="187"/>
      <c r="B852" s="1304" t="s">
        <v>1356</v>
      </c>
      <c r="C852" s="223" t="s">
        <v>190</v>
      </c>
      <c r="D852" s="1544">
        <v>116</v>
      </c>
      <c r="E852" s="224">
        <v>8</v>
      </c>
      <c r="F852" s="224">
        <v>120</v>
      </c>
      <c r="G852" s="1545">
        <v>113.4326746987952</v>
      </c>
      <c r="H852" s="1527">
        <f>G852*(1+$H$33)</f>
        <v>121.37296192771086</v>
      </c>
      <c r="I852" s="1527">
        <f>H852-H852*$J$833</f>
        <v>61.900210583132541</v>
      </c>
      <c r="J852" s="1039">
        <f>G852-G852*$J$833</f>
        <v>57.85066409638555</v>
      </c>
      <c r="K852" s="1546">
        <v>187</v>
      </c>
      <c r="L852" s="808">
        <v>116</v>
      </c>
      <c r="M852" s="1119">
        <f>L852/D852*100%</f>
        <v>1</v>
      </c>
      <c r="N852" s="879">
        <f>K852-(K852*$O$33)</f>
        <v>93.5</v>
      </c>
      <c r="O852" s="1295">
        <f>((N852/J852)-1)*100%</f>
        <v>0.61623036589897651</v>
      </c>
      <c r="P852" s="1547">
        <f>((N852/I852)-1)*100%</f>
        <v>0.51049566906446397</v>
      </c>
      <c r="Q852" s="234">
        <v>1.33</v>
      </c>
      <c r="R852" s="235">
        <f>Q852*$R$33</f>
        <v>62.553890000000003</v>
      </c>
      <c r="S852" s="236">
        <f>((J852-R852)/J852)*100%</f>
        <v>-8.1299428054591769E-2</v>
      </c>
      <c r="T852" s="237">
        <f>((I852-R852)/I852)*100%</f>
        <v>-1.0560213135132463E-2</v>
      </c>
      <c r="U852" s="238">
        <f>Q852/1.2</f>
        <v>1.1083333333333334</v>
      </c>
      <c r="V852" s="239">
        <f>U852*$X$31</f>
        <v>1.33</v>
      </c>
      <c r="W852" s="239">
        <f>V852*$R$33</f>
        <v>62.553890000000003</v>
      </c>
      <c r="X852" s="240">
        <f>(ROUND(W852/(1-$AA$850),0))</f>
        <v>87</v>
      </c>
      <c r="Y852" s="239">
        <f>Z852*(1-$X$33)</f>
        <v>83.64</v>
      </c>
      <c r="Z852" s="240">
        <f>ROUND(X852/(1-$X$828),0)</f>
        <v>164</v>
      </c>
      <c r="AA852" s="241">
        <f>((X852-W852)/X852)*100%</f>
        <v>0.28098977011494247</v>
      </c>
      <c r="AB852" s="241">
        <f>((Y852-W852)/Y852)*100%</f>
        <v>0.25210557149689139</v>
      </c>
      <c r="AC852" s="242">
        <f>((N852/Y852)-1)*100%</f>
        <v>0.11788617886178865</v>
      </c>
      <c r="AD852" s="243">
        <f>((N852*0.96-W852)/(N852*0.96))*100%</f>
        <v>0.30309837344028512</v>
      </c>
      <c r="AE852" s="238">
        <f>N852/$R$33</f>
        <v>1.9879658962855866</v>
      </c>
      <c r="AF852" s="239">
        <f>(V852/(1-$AA$850))</f>
        <v>1.8472222222222223</v>
      </c>
      <c r="AG852" s="1868">
        <v>3.49</v>
      </c>
      <c r="AH852" s="244">
        <f>((AF852-V852)/AF852)*100%</f>
        <v>0.28000000000000003</v>
      </c>
      <c r="AI852" s="92">
        <f>AJ852/$AJ$856</f>
        <v>0.8759348878134624</v>
      </c>
      <c r="AJ852" s="338">
        <f>[1]Статистика!D310</f>
        <v>1991</v>
      </c>
      <c r="AK852" s="297">
        <f>Q852*S852*AJ852</f>
        <v>-215.28332447140065</v>
      </c>
      <c r="AL852" s="866">
        <f>AK852/$AK$856</f>
        <v>0.75789680249825153</v>
      </c>
      <c r="AM852" s="92">
        <f>AJ852/$AJ$1101</f>
        <v>2.6755178692611081E-3</v>
      </c>
      <c r="AN852" s="92">
        <f>AK852/$AK$1101</f>
        <v>2.8235236671312843E-3</v>
      </c>
      <c r="AO852" s="13"/>
      <c r="AP852" s="13"/>
    </row>
    <row r="853" spans="1:42" ht="16.5" thickBot="1">
      <c r="A853" s="187"/>
      <c r="B853" s="1277" t="s">
        <v>1357</v>
      </c>
      <c r="C853" s="275" t="s">
        <v>192</v>
      </c>
      <c r="D853" s="710">
        <v>167</v>
      </c>
      <c r="E853" s="1438">
        <v>8</v>
      </c>
      <c r="F853" s="1438">
        <v>80</v>
      </c>
      <c r="G853" s="1548">
        <v>178.77975903614455</v>
      </c>
      <c r="H853" s="1549">
        <f>G853*(1+$H$33)</f>
        <v>191.29434216867469</v>
      </c>
      <c r="I853" s="1549">
        <f>H853-H853*$J$833</f>
        <v>97.560114506024092</v>
      </c>
      <c r="J853" s="1323">
        <f>G853-G853*$J$833</f>
        <v>91.177677108433727</v>
      </c>
      <c r="K853" s="1524">
        <v>247</v>
      </c>
      <c r="L853" s="341">
        <v>167</v>
      </c>
      <c r="M853" s="896">
        <f>L853/D853*100%</f>
        <v>1</v>
      </c>
      <c r="N853" s="767">
        <f>K853-(K853*$O$33)</f>
        <v>123.5</v>
      </c>
      <c r="O853" s="363">
        <f>((N853/J853)-1)*100%</f>
        <v>0.35449820522546016</v>
      </c>
      <c r="P853" s="1550">
        <f>((N853/I853)-1)*100%</f>
        <v>0.26588617310790652</v>
      </c>
      <c r="Q853" s="257">
        <v>2.1576923076923076</v>
      </c>
      <c r="R853" s="258">
        <f>Q853*$R$33</f>
        <v>101.48274230769231</v>
      </c>
      <c r="S853" s="259">
        <f>((J853-R853)/J853)*100%</f>
        <v>-0.11302180013868091</v>
      </c>
      <c r="T853" s="260">
        <f>((I853-R853)/I853)*100%</f>
        <v>-4.0207289849234447E-2</v>
      </c>
      <c r="U853" s="261">
        <f>Q853/1.2</f>
        <v>1.7980769230769231</v>
      </c>
      <c r="V853" s="239">
        <f>U853*$X$31</f>
        <v>2.1576923076923076</v>
      </c>
      <c r="W853" s="262">
        <f>V853*$R$33</f>
        <v>101.48274230769231</v>
      </c>
      <c r="X853" s="240">
        <f>(ROUND(W853/(1-$AB$850),0))</f>
        <v>119</v>
      </c>
      <c r="Y853" s="239">
        <f>Z853*(1-$X$33)</f>
        <v>114.75</v>
      </c>
      <c r="Z853" s="240">
        <f>ROUND(X853/(1-$X$828),0)</f>
        <v>225</v>
      </c>
      <c r="AA853" s="264">
        <f>((X853-W853)/X853)*100%</f>
        <v>0.14720384615384619</v>
      </c>
      <c r="AB853" s="241">
        <f>((Y853-W853)/Y853)*100%</f>
        <v>0.11561880341880344</v>
      </c>
      <c r="AC853" s="242">
        <f>((N853/Y853)-1)*100%</f>
        <v>7.6252723311546866E-2</v>
      </c>
      <c r="AD853" s="266">
        <f>((N853*0.96-W853)/(N853*0.96))*100%</f>
        <v>0.14403894814699475</v>
      </c>
      <c r="AE853" s="261">
        <f>N853/$R$33</f>
        <v>2.6258159164841706</v>
      </c>
      <c r="AF853" s="239">
        <f>(V853/(1-$AB$850))</f>
        <v>2.5384615384615383</v>
      </c>
      <c r="AG853" s="1868">
        <f>AF853/(1-$X$828)</f>
        <v>4.7895500725689404</v>
      </c>
      <c r="AH853" s="267">
        <f>((AF853-V853)/AF853)*100%</f>
        <v>0.15</v>
      </c>
      <c r="AI853" s="77">
        <f>AJ853/$AJ$856</f>
        <v>0.12406511218653761</v>
      </c>
      <c r="AJ853" s="333">
        <f>[1]Статистика!D311</f>
        <v>282</v>
      </c>
      <c r="AK853" s="270">
        <f>Q853*S853*AJ853</f>
        <v>-68.770287790536912</v>
      </c>
      <c r="AL853" s="506">
        <f>AK853/$AK$856</f>
        <v>0.2421031975017483</v>
      </c>
      <c r="AM853" s="77">
        <f>AJ853/$AJ$1101</f>
        <v>3.7895330945837897E-4</v>
      </c>
      <c r="AN853" s="77">
        <f>AK853/$AK$1101</f>
        <v>9.0194879537827699E-4</v>
      </c>
      <c r="AO853" s="13"/>
      <c r="AP853" s="13"/>
    </row>
    <row r="854" spans="1:42" ht="15.75">
      <c r="A854" s="187"/>
      <c r="B854" s="1551" t="s">
        <v>858</v>
      </c>
      <c r="C854" s="1552" t="s">
        <v>1348</v>
      </c>
      <c r="D854" s="1553">
        <v>480</v>
      </c>
      <c r="E854" s="961">
        <v>4</v>
      </c>
      <c r="F854" s="961">
        <v>40</v>
      </c>
      <c r="G854" s="1554"/>
      <c r="H854" s="1555">
        <v>565</v>
      </c>
      <c r="I854" s="1556">
        <f>H854-H854*$J$833</f>
        <v>288.14999999999998</v>
      </c>
      <c r="J854" s="1557"/>
      <c r="K854" s="454"/>
      <c r="L854" s="455"/>
      <c r="M854" s="1385"/>
      <c r="N854" s="1558"/>
      <c r="O854" s="458"/>
      <c r="P854" s="464"/>
      <c r="Q854" s="331">
        <v>7.4590898000000001</v>
      </c>
      <c r="R854" s="382">
        <f>Q854*$R$33</f>
        <v>350.82337056340003</v>
      </c>
      <c r="S854" s="259"/>
      <c r="T854" s="260">
        <f>((I854-R854)/I854)*100%</f>
        <v>-0.2175025874141942</v>
      </c>
      <c r="U854" s="261">
        <v>4.6570799999999997</v>
      </c>
      <c r="V854" s="262">
        <f>U854*$X$31</f>
        <v>5.5884959999999992</v>
      </c>
      <c r="W854" s="262">
        <f>V854*$R$33</f>
        <v>262.84373236799996</v>
      </c>
      <c r="X854" s="263">
        <f>(ROUND(W854/(1-$AC$850),0))</f>
        <v>324</v>
      </c>
      <c r="Y854" s="262">
        <f>Z854*(1-$X$33)</f>
        <v>311.61</v>
      </c>
      <c r="Z854" s="263">
        <f>ROUND(X854/(1-$X$828),0)</f>
        <v>611</v>
      </c>
      <c r="AA854" s="264">
        <f>((X854-W854)/X854)*100%</f>
        <v>0.18875391244444456</v>
      </c>
      <c r="AB854" s="264">
        <f>((Y854-W854)/Y854)*100%</f>
        <v>0.15649776204871491</v>
      </c>
      <c r="AC854" s="768"/>
      <c r="AD854" s="266"/>
      <c r="AE854" s="261">
        <f>N854/$R$33</f>
        <v>0</v>
      </c>
      <c r="AF854" s="262">
        <f>(V854/(1-$AC$850))</f>
        <v>6.8993777777777767</v>
      </c>
      <c r="AG854" s="1869">
        <v>13.02</v>
      </c>
      <c r="AH854" s="264">
        <f>((AF854-V854)/AF854)*100%</f>
        <v>0.18999999999999997</v>
      </c>
      <c r="AI854" s="459"/>
      <c r="AJ854" s="460"/>
      <c r="AK854" s="461"/>
      <c r="AL854" s="1249"/>
      <c r="AM854" s="459"/>
      <c r="AN854" s="459"/>
      <c r="AO854" s="13"/>
      <c r="AP854" s="13"/>
    </row>
    <row r="855" spans="1:42" ht="16.5" thickBot="1">
      <c r="A855" s="187"/>
      <c r="B855" s="1380" t="s">
        <v>860</v>
      </c>
      <c r="C855" s="789" t="s">
        <v>1350</v>
      </c>
      <c r="D855" s="1559">
        <v>620</v>
      </c>
      <c r="E855" s="1437">
        <v>4</v>
      </c>
      <c r="F855" s="1437">
        <v>32</v>
      </c>
      <c r="G855" s="1554"/>
      <c r="H855" s="1555">
        <v>730</v>
      </c>
      <c r="I855" s="1556">
        <f>H855-H855*$J$833</f>
        <v>372.3</v>
      </c>
      <c r="J855" s="1557"/>
      <c r="K855" s="454"/>
      <c r="L855" s="455"/>
      <c r="M855" s="1385"/>
      <c r="N855" s="1558"/>
      <c r="O855" s="458"/>
      <c r="P855" s="464"/>
      <c r="Q855" s="331">
        <v>5.7747791999999993</v>
      </c>
      <c r="R855" s="382">
        <f>Q855*$R$33</f>
        <v>271.60519011359997</v>
      </c>
      <c r="S855" s="259"/>
      <c r="T855" s="260">
        <f>((I855-R855)/I855)*100%</f>
        <v>0.27046685438195012</v>
      </c>
      <c r="U855" s="261">
        <v>6.0153949999999998</v>
      </c>
      <c r="V855" s="262">
        <f>U855*$X$31</f>
        <v>7.2184739999999996</v>
      </c>
      <c r="W855" s="262">
        <f>V855*$R$33</f>
        <v>339.50648764199997</v>
      </c>
      <c r="X855" s="263">
        <f>(ROUND(W855/(1-$AC$850),0))</f>
        <v>419</v>
      </c>
      <c r="Y855" s="262">
        <f>Z855*(1-$X$33)</f>
        <v>403.41</v>
      </c>
      <c r="Z855" s="263">
        <f>ROUND(X855/(1-$X$828),0)</f>
        <v>791</v>
      </c>
      <c r="AA855" s="264">
        <f>((X855-W855)/X855)*100%</f>
        <v>0.18972198653460629</v>
      </c>
      <c r="AB855" s="264">
        <f>((Y855-W855)/Y855)*100%</f>
        <v>0.15840834971369092</v>
      </c>
      <c r="AC855" s="768"/>
      <c r="AD855" s="266"/>
      <c r="AE855" s="261">
        <f>N855/$R$33</f>
        <v>0</v>
      </c>
      <c r="AF855" s="262">
        <f>(V855/(1-$AC$850))</f>
        <v>8.9116962962962951</v>
      </c>
      <c r="AG855" s="1869">
        <v>16.82</v>
      </c>
      <c r="AH855" s="264">
        <f>((AF855-V855)/AF855)*100%</f>
        <v>0.18999999999999995</v>
      </c>
      <c r="AI855" s="459"/>
      <c r="AJ855" s="460"/>
      <c r="AK855" s="461"/>
      <c r="AL855" s="1249"/>
      <c r="AM855" s="459"/>
      <c r="AN855" s="459"/>
      <c r="AO855" s="13"/>
      <c r="AP855" s="13"/>
    </row>
    <row r="856" spans="1:42" ht="15.75" thickBot="1">
      <c r="A856" s="187"/>
      <c r="B856" s="413"/>
      <c r="C856" s="413"/>
      <c r="D856" s="414"/>
      <c r="E856" s="414"/>
      <c r="F856" s="414"/>
      <c r="G856" s="1560"/>
      <c r="H856" s="1561"/>
      <c r="I856" s="1561"/>
      <c r="J856" s="897"/>
      <c r="K856" s="533"/>
      <c r="P856" s="886"/>
      <c r="Q856" s="1091"/>
      <c r="R856" s="1092"/>
      <c r="S856" s="364"/>
      <c r="T856" s="364"/>
      <c r="U856" s="872"/>
      <c r="V856" s="872"/>
      <c r="W856" s="872"/>
      <c r="X856" s="872"/>
      <c r="Y856" s="872"/>
      <c r="Z856" s="872"/>
      <c r="AA856" s="364"/>
      <c r="AB856" s="364"/>
      <c r="AC856" s="364"/>
      <c r="AD856" s="364">
        <f>AVERAGE(AD852:AD853)</f>
        <v>0.22356866079363993</v>
      </c>
      <c r="AE856" s="872"/>
      <c r="AF856" s="872"/>
      <c r="AG856" s="1882"/>
      <c r="AH856" s="364"/>
      <c r="AI856" s="512">
        <f>S852*AI852+S853*AI853</f>
        <v>-8.5235067706027373E-2</v>
      </c>
      <c r="AJ856" s="513">
        <f>SUM(AJ852:AJ853)</f>
        <v>2273</v>
      </c>
      <c r="AK856" s="514">
        <f>SUM(AK852:AK853)</f>
        <v>-284.05361226193759</v>
      </c>
      <c r="AM856" s="307">
        <f>SUM(AM852:AM853)</f>
        <v>3.0544711787194871E-3</v>
      </c>
      <c r="AN856" s="307">
        <f>SUM(AN852:AN853)</f>
        <v>3.7254724625095615E-3</v>
      </c>
      <c r="AO856" s="13"/>
      <c r="AP856" s="13"/>
    </row>
    <row r="857" spans="1:42">
      <c r="A857" s="149" t="s">
        <v>18</v>
      </c>
      <c r="C857" s="157" t="s">
        <v>19</v>
      </c>
      <c r="J857" s="532"/>
      <c r="K857" s="533"/>
      <c r="AO857" s="13"/>
      <c r="AP857" s="13"/>
    </row>
    <row r="858" spans="1:42" ht="15.75" thickBot="1">
      <c r="A858" s="187"/>
      <c r="B858" s="157"/>
      <c r="C858" s="148" t="s">
        <v>9</v>
      </c>
      <c r="J858" s="532"/>
      <c r="K858" s="2309" t="s">
        <v>1358</v>
      </c>
      <c r="L858" s="2309"/>
      <c r="M858" s="2309"/>
      <c r="N858" s="2309"/>
      <c r="O858" s="2309"/>
      <c r="P858" s="1852"/>
      <c r="T858" s="1851"/>
      <c r="U858" s="309"/>
      <c r="V858" s="309"/>
      <c r="W858" s="309"/>
      <c r="X858" s="309"/>
      <c r="Y858" s="309"/>
      <c r="Z858" s="309"/>
      <c r="AA858" s="346">
        <v>0.12</v>
      </c>
      <c r="AB858" s="628">
        <v>0.08</v>
      </c>
      <c r="AC858" s="1851"/>
      <c r="AD858" s="1851"/>
      <c r="AE858" s="188"/>
      <c r="AF858" s="188"/>
      <c r="AG858" s="1866"/>
      <c r="AH858" s="1851"/>
      <c r="AO858" s="13"/>
      <c r="AP858" s="13"/>
    </row>
    <row r="859" spans="1:42" ht="60.75" thickBot="1">
      <c r="A859" s="187"/>
      <c r="B859" s="369" t="s">
        <v>10</v>
      </c>
      <c r="C859" s="1334" t="s">
        <v>11</v>
      </c>
      <c r="D859" s="370" t="s">
        <v>12</v>
      </c>
      <c r="E859" s="370" t="s">
        <v>13</v>
      </c>
      <c r="F859" s="370" t="s">
        <v>14</v>
      </c>
      <c r="G859" s="371" t="s">
        <v>15</v>
      </c>
      <c r="H859" s="372" t="s">
        <v>1090</v>
      </c>
      <c r="I859" s="372">
        <f>$C$20</f>
        <v>0.49</v>
      </c>
      <c r="J859" s="684">
        <f>$C$20</f>
        <v>0.49</v>
      </c>
      <c r="K859" s="548" t="s">
        <v>15</v>
      </c>
      <c r="L859" s="423" t="s">
        <v>12</v>
      </c>
      <c r="M859" s="196" t="s">
        <v>1091</v>
      </c>
      <c r="N859" s="549" t="s">
        <v>993</v>
      </c>
      <c r="O859" s="424" t="s">
        <v>1092</v>
      </c>
      <c r="P859" s="772" t="s">
        <v>1092</v>
      </c>
      <c r="Q859" s="200" t="s">
        <v>1093</v>
      </c>
      <c r="R859" s="201" t="s">
        <v>1094</v>
      </c>
      <c r="S859" s="350" t="s">
        <v>1095</v>
      </c>
      <c r="T859" s="203" t="s">
        <v>1095</v>
      </c>
      <c r="U859" s="204" t="s">
        <v>1096</v>
      </c>
      <c r="V859" s="205" t="s">
        <v>1093</v>
      </c>
      <c r="W859" s="206" t="s">
        <v>1094</v>
      </c>
      <c r="X859" s="207" t="s">
        <v>1097</v>
      </c>
      <c r="Y859" s="208">
        <f>$X$33</f>
        <v>0.49</v>
      </c>
      <c r="Z859" s="207" t="s">
        <v>1098</v>
      </c>
      <c r="AA859" s="209" t="s">
        <v>1099</v>
      </c>
      <c r="AB859" s="209" t="s">
        <v>1100</v>
      </c>
      <c r="AC859" s="210" t="s">
        <v>1092</v>
      </c>
      <c r="AD859" s="211" t="s">
        <v>1101</v>
      </c>
      <c r="AE859" s="212" t="s">
        <v>1102</v>
      </c>
      <c r="AF859" s="208" t="s">
        <v>1103</v>
      </c>
      <c r="AG859" s="1867" t="s">
        <v>1104</v>
      </c>
      <c r="AH859" s="213" t="s">
        <v>1105</v>
      </c>
      <c r="AI859" s="220" t="s">
        <v>1106</v>
      </c>
      <c r="AJ859" s="483" t="s">
        <v>1107</v>
      </c>
      <c r="AK859" s="484" t="s">
        <v>1108</v>
      </c>
      <c r="AL859" s="221" t="s">
        <v>1109</v>
      </c>
      <c r="AM859" s="221" t="s">
        <v>1175</v>
      </c>
      <c r="AN859" s="221" t="s">
        <v>1176</v>
      </c>
      <c r="AO859" s="13"/>
      <c r="AP859" s="13"/>
    </row>
    <row r="860" spans="1:42" ht="15.75">
      <c r="A860" s="187"/>
      <c r="B860" s="1391" t="s">
        <v>205</v>
      </c>
      <c r="C860" s="1336" t="s">
        <v>190</v>
      </c>
      <c r="D860" s="377">
        <v>46</v>
      </c>
      <c r="E860" s="377">
        <v>10</v>
      </c>
      <c r="F860" s="377">
        <v>350</v>
      </c>
      <c r="G860" s="1562">
        <v>38</v>
      </c>
      <c r="H860" s="1563">
        <f t="shared" ref="H860:H865" si="343">G860*(1+$H$33)</f>
        <v>40.660000000000004</v>
      </c>
      <c r="I860" s="1563">
        <f t="shared" ref="I860:I865" si="344">H860-H860*$J$833</f>
        <v>20.736600000000003</v>
      </c>
      <c r="J860" s="1028">
        <f t="shared" ref="J860:J865" si="345">G860-G860*$J$833</f>
        <v>19.38</v>
      </c>
      <c r="K860" s="1029">
        <v>46</v>
      </c>
      <c r="L860" s="478">
        <v>41</v>
      </c>
      <c r="M860" s="1030">
        <f t="shared" ref="M860:M865" si="346">L860/D860*100%</f>
        <v>0.89130434782608692</v>
      </c>
      <c r="N860" s="258">
        <f t="shared" ref="N860:N865" si="347">K860-(K860*$O$33)</f>
        <v>23</v>
      </c>
      <c r="O860" s="1564">
        <f t="shared" ref="O860:O865" si="348">((N860/J860)-1)*100%</f>
        <v>0.18679050567595468</v>
      </c>
      <c r="P860" s="1565">
        <f t="shared" ref="P860:P865" si="349">((N860/I860)-1)*100%</f>
        <v>0.10915000530463037</v>
      </c>
      <c r="Q860" s="234">
        <v>0.46000000000000013</v>
      </c>
      <c r="R860" s="235">
        <f t="shared" ref="R860:R865" si="350">Q860*$R$33</f>
        <v>21.635180000000005</v>
      </c>
      <c r="S860" s="236">
        <f t="shared" ref="S860:S865" si="351">((J860-R860)/J860)*100%</f>
        <v>-0.11636635706914378</v>
      </c>
      <c r="T860" s="237">
        <f t="shared" ref="T860:T865" si="352">((I860-R860)/I860)*100%</f>
        <v>-4.3333043989853805E-2</v>
      </c>
      <c r="U860" s="238">
        <v>0.38808999999999999</v>
      </c>
      <c r="V860" s="239">
        <f t="shared" ref="V860:V865" si="353">U860*$X$31</f>
        <v>0.46570799999999996</v>
      </c>
      <c r="W860" s="239">
        <f t="shared" ref="W860:W865" si="354">V860*$R$33</f>
        <v>21.903644363999998</v>
      </c>
      <c r="X860" s="240">
        <f>(ROUND(W860/(1-$AB$858),0))</f>
        <v>24</v>
      </c>
      <c r="Y860" s="239">
        <f t="shared" ref="Y860:Y865" si="355">Z860*(1-$X$33)</f>
        <v>22.95</v>
      </c>
      <c r="Z860" s="240">
        <f t="shared" ref="Z860:Z865" si="356">ROUND(X860/(1-$X$828),0)</f>
        <v>45</v>
      </c>
      <c r="AA860" s="241">
        <f t="shared" ref="AA860:AA865" si="357">((X860-W860)/X860)*100%</f>
        <v>8.7348151500000082E-2</v>
      </c>
      <c r="AB860" s="241">
        <f t="shared" ref="AB860:AB865" si="358">((Y860-W860)/Y860)*100%</f>
        <v>4.5592838169934695E-2</v>
      </c>
      <c r="AC860" s="1198">
        <f t="shared" ref="AC860:AC865" si="359">((N860/Y860)-1)*100%</f>
        <v>2.1786492374729072E-3</v>
      </c>
      <c r="AD860" s="243">
        <f t="shared" ref="AD860:AD865" si="360">((N860*0.96-W860)/(N860*0.96))*100%</f>
        <v>7.987121195652187E-3</v>
      </c>
      <c r="AE860" s="238">
        <f t="shared" ref="AE860:AE865" si="361">N860/$R$33</f>
        <v>0.48901834881891437</v>
      </c>
      <c r="AF860" s="239">
        <f>(V860/(1-$AB$858))</f>
        <v>0.50620434782608692</v>
      </c>
      <c r="AG860" s="1868">
        <v>0.96</v>
      </c>
      <c r="AH860" s="244">
        <f t="shared" ref="AH860:AH865" si="362">((AF860-V860)/AF860)*100%</f>
        <v>8.0000000000000016E-2</v>
      </c>
      <c r="AI860" s="92">
        <f t="shared" ref="AI860:AI865" si="363">AJ860/$AJ$866</f>
        <v>0.6699265511504281</v>
      </c>
      <c r="AJ860" s="338">
        <f>[1]Статистика!D268</f>
        <v>33018</v>
      </c>
      <c r="AK860" s="297">
        <f t="shared" ref="AK860:AK865" si="364">Q860*S860*AJ860</f>
        <v>-1767.4048137461355</v>
      </c>
      <c r="AL860" s="866">
        <f t="shared" ref="AL860:AL865" si="365">AK860/$AK$866</f>
        <v>0.31651484861975665</v>
      </c>
      <c r="AM860" s="92">
        <f t="shared" ref="AM860:AM865" si="366">AJ860/$AJ$1101</f>
        <v>4.4369788552116159E-2</v>
      </c>
      <c r="AN860" s="92">
        <f t="shared" ref="AN860:AN865" si="367">AK860/$AK$1101</f>
        <v>2.3180194440359042E-2</v>
      </c>
      <c r="AO860" s="13"/>
      <c r="AP860" s="13"/>
    </row>
    <row r="861" spans="1:42" ht="15.75">
      <c r="A861" s="271"/>
      <c r="B861" s="1534" t="s">
        <v>206</v>
      </c>
      <c r="C861" s="1566" t="s">
        <v>192</v>
      </c>
      <c r="D861" s="926">
        <v>74</v>
      </c>
      <c r="E861" s="926">
        <v>10</v>
      </c>
      <c r="F861" s="926">
        <v>280</v>
      </c>
      <c r="G861" s="1535">
        <v>61</v>
      </c>
      <c r="H861" s="1556">
        <f t="shared" si="343"/>
        <v>65.27000000000001</v>
      </c>
      <c r="I861" s="1556">
        <f t="shared" si="344"/>
        <v>33.287700000000001</v>
      </c>
      <c r="J861" s="1567">
        <f t="shared" si="345"/>
        <v>31.11</v>
      </c>
      <c r="K861" s="1568">
        <v>78</v>
      </c>
      <c r="L861" s="929">
        <v>68</v>
      </c>
      <c r="M861" s="495">
        <f t="shared" si="346"/>
        <v>0.91891891891891897</v>
      </c>
      <c r="N861" s="496">
        <f t="shared" si="347"/>
        <v>39</v>
      </c>
      <c r="O861" s="497">
        <f t="shared" si="348"/>
        <v>0.25361620057859202</v>
      </c>
      <c r="P861" s="1569">
        <f t="shared" si="349"/>
        <v>0.1716039257743851</v>
      </c>
      <c r="Q861" s="1570">
        <v>0.80575531303848369</v>
      </c>
      <c r="R861" s="650">
        <f t="shared" si="350"/>
        <v>37.897089638139008</v>
      </c>
      <c r="S861" s="1519">
        <f t="shared" si="351"/>
        <v>-0.21816424423461936</v>
      </c>
      <c r="T861" s="260">
        <f t="shared" si="352"/>
        <v>-0.13847125629403673</v>
      </c>
      <c r="U861" s="261">
        <v>0.67571000000000003</v>
      </c>
      <c r="V861" s="239">
        <f t="shared" si="353"/>
        <v>0.81085200000000002</v>
      </c>
      <c r="W861" s="262">
        <f t="shared" si="354"/>
        <v>38.136802115999998</v>
      </c>
      <c r="X861" s="240">
        <f>(ROUND(W861/(1-$AB$858),0))</f>
        <v>41</v>
      </c>
      <c r="Y861" s="239">
        <f t="shared" si="355"/>
        <v>39.270000000000003</v>
      </c>
      <c r="Z861" s="240">
        <f t="shared" si="356"/>
        <v>77</v>
      </c>
      <c r="AA861" s="264">
        <f t="shared" si="357"/>
        <v>6.9834094731707361E-2</v>
      </c>
      <c r="AB861" s="241">
        <f t="shared" si="358"/>
        <v>2.8856579679144505E-2</v>
      </c>
      <c r="AC861" s="265">
        <f t="shared" si="359"/>
        <v>-6.8754774637128646E-3</v>
      </c>
      <c r="AD861" s="266">
        <f t="shared" si="360"/>
        <v>-1.8611167628205146E-2</v>
      </c>
      <c r="AE861" s="261">
        <f t="shared" si="361"/>
        <v>0.82920502625815917</v>
      </c>
      <c r="AF861" s="239">
        <f>(V861/(1-$AB$858))</f>
        <v>0.88136086956521742</v>
      </c>
      <c r="AG861" s="1868">
        <v>1.66</v>
      </c>
      <c r="AH861" s="267">
        <f t="shared" si="362"/>
        <v>8.0000000000000016E-2</v>
      </c>
      <c r="AI861" s="77">
        <f t="shared" si="363"/>
        <v>0.21979872580448809</v>
      </c>
      <c r="AJ861" s="333">
        <f>[1]Статистика!D269</f>
        <v>10833</v>
      </c>
      <c r="AK861" s="270">
        <f t="shared" si="364"/>
        <v>-1904.3005591602885</v>
      </c>
      <c r="AL861" s="506">
        <f t="shared" si="365"/>
        <v>0.34103075793461785</v>
      </c>
      <c r="AM861" s="77">
        <f t="shared" si="366"/>
        <v>1.4557451068661771E-2</v>
      </c>
      <c r="AN861" s="77">
        <f t="shared" si="367"/>
        <v>2.4975634835268903E-2</v>
      </c>
      <c r="AO861" s="13"/>
      <c r="AP861" s="13"/>
    </row>
    <row r="862" spans="1:42" ht="15.75">
      <c r="A862" s="187"/>
      <c r="B862" s="1534" t="s">
        <v>207</v>
      </c>
      <c r="C862" s="1566" t="s">
        <v>194</v>
      </c>
      <c r="D862" s="926">
        <v>130</v>
      </c>
      <c r="E862" s="926">
        <v>10</v>
      </c>
      <c r="F862" s="926">
        <v>150</v>
      </c>
      <c r="G862" s="1535">
        <v>105</v>
      </c>
      <c r="H862" s="1556">
        <f t="shared" si="343"/>
        <v>112.35000000000001</v>
      </c>
      <c r="I862" s="1556">
        <f t="shared" si="344"/>
        <v>57.298500000000004</v>
      </c>
      <c r="J862" s="1567">
        <f t="shared" si="345"/>
        <v>53.550000000000004</v>
      </c>
      <c r="K862" s="1568">
        <v>117</v>
      </c>
      <c r="L862" s="929">
        <v>105</v>
      </c>
      <c r="M862" s="495">
        <f t="shared" si="346"/>
        <v>0.80769230769230771</v>
      </c>
      <c r="N862" s="496">
        <f t="shared" si="347"/>
        <v>58.5</v>
      </c>
      <c r="O862" s="1571">
        <f t="shared" si="348"/>
        <v>9.243697478991586E-2</v>
      </c>
      <c r="P862" s="1572">
        <f t="shared" si="349"/>
        <v>2.0969135317678411E-2</v>
      </c>
      <c r="Q862" s="1573">
        <v>1.432658227848101</v>
      </c>
      <c r="R862" s="650">
        <f t="shared" si="350"/>
        <v>67.382214430379733</v>
      </c>
      <c r="S862" s="933">
        <f t="shared" si="351"/>
        <v>-0.2583046578969137</v>
      </c>
      <c r="T862" s="260">
        <f t="shared" si="352"/>
        <v>-0.17598566158590065</v>
      </c>
      <c r="U862" s="261">
        <v>1.1810150000000001</v>
      </c>
      <c r="V862" s="239">
        <f t="shared" si="353"/>
        <v>1.4172180000000001</v>
      </c>
      <c r="W862" s="262">
        <f t="shared" si="354"/>
        <v>66.656014194000008</v>
      </c>
      <c r="X862" s="240">
        <f>(ROUND(W862/(1-$AA$858),0))</f>
        <v>76</v>
      </c>
      <c r="Y862" s="239">
        <f t="shared" si="355"/>
        <v>72.930000000000007</v>
      </c>
      <c r="Z862" s="240">
        <f t="shared" si="356"/>
        <v>143</v>
      </c>
      <c r="AA862" s="264">
        <f t="shared" si="357"/>
        <v>0.12294718165789463</v>
      </c>
      <c r="AB862" s="241">
        <f t="shared" si="358"/>
        <v>8.6027503167420791E-2</v>
      </c>
      <c r="AC862" s="265">
        <f t="shared" si="359"/>
        <v>-0.19786096256684504</v>
      </c>
      <c r="AD862" s="266">
        <f t="shared" si="360"/>
        <v>-0.18689483963675235</v>
      </c>
      <c r="AE862" s="261">
        <f t="shared" si="361"/>
        <v>1.2438075393872388</v>
      </c>
      <c r="AF862" s="239">
        <f>(V862/(1-$AA$858))</f>
        <v>1.6104750000000001</v>
      </c>
      <c r="AG862" s="1868">
        <v>3.04</v>
      </c>
      <c r="AH862" s="267">
        <f t="shared" si="362"/>
        <v>0.12</v>
      </c>
      <c r="AI862" s="77">
        <f t="shared" si="363"/>
        <v>7.6045935965588604E-2</v>
      </c>
      <c r="AJ862" s="333">
        <f>[1]Статистика!D270</f>
        <v>3748</v>
      </c>
      <c r="AK862" s="270">
        <f t="shared" si="364"/>
        <v>-1386.9934757662791</v>
      </c>
      <c r="AL862" s="506">
        <f t="shared" si="365"/>
        <v>0.24838906548424233</v>
      </c>
      <c r="AM862" s="77">
        <f t="shared" si="366"/>
        <v>5.0365851200354769E-3</v>
      </c>
      <c r="AN862" s="77">
        <f t="shared" si="367"/>
        <v>1.8190953315118559E-2</v>
      </c>
      <c r="AO862" s="13"/>
      <c r="AP862" s="13"/>
    </row>
    <row r="863" spans="1:42" ht="15.75">
      <c r="A863" s="187"/>
      <c r="B863" s="356" t="s">
        <v>208</v>
      </c>
      <c r="C863" s="251" t="s">
        <v>209</v>
      </c>
      <c r="D863" s="251">
        <v>191</v>
      </c>
      <c r="E863" s="251">
        <v>8</v>
      </c>
      <c r="F863" s="251">
        <v>80</v>
      </c>
      <c r="G863" s="1574">
        <v>168</v>
      </c>
      <c r="H863" s="1556">
        <f t="shared" si="343"/>
        <v>179.76000000000002</v>
      </c>
      <c r="I863" s="1556">
        <f t="shared" si="344"/>
        <v>91.677600000000012</v>
      </c>
      <c r="J863" s="1045">
        <f t="shared" si="345"/>
        <v>85.68</v>
      </c>
      <c r="K863" s="1094">
        <v>218</v>
      </c>
      <c r="L863" s="322">
        <v>204</v>
      </c>
      <c r="M863" s="335">
        <f t="shared" si="346"/>
        <v>1.0680628272251309</v>
      </c>
      <c r="N863" s="382">
        <f t="shared" si="347"/>
        <v>109</v>
      </c>
      <c r="O863" s="324">
        <f t="shared" si="348"/>
        <v>0.27217553688141916</v>
      </c>
      <c r="P863" s="1569">
        <f t="shared" si="349"/>
        <v>0.18894909988917674</v>
      </c>
      <c r="Q863" s="257">
        <v>2.0553018372703411</v>
      </c>
      <c r="R863" s="258">
        <f t="shared" si="350"/>
        <v>96.667011312335958</v>
      </c>
      <c r="S863" s="259">
        <f t="shared" si="351"/>
        <v>-0.1282330918806717</v>
      </c>
      <c r="T863" s="260">
        <f t="shared" si="352"/>
        <v>-5.4423450355767879E-2</v>
      </c>
      <c r="U863" s="261">
        <v>1.697155</v>
      </c>
      <c r="V863" s="239">
        <f t="shared" si="353"/>
        <v>2.0365859999999998</v>
      </c>
      <c r="W863" s="262">
        <f t="shared" si="354"/>
        <v>95.786749337999993</v>
      </c>
      <c r="X863" s="240">
        <f>(ROUND(W863/(1-$AA$858),0))</f>
        <v>109</v>
      </c>
      <c r="Y863" s="239">
        <f t="shared" si="355"/>
        <v>105.06</v>
      </c>
      <c r="Z863" s="240">
        <f t="shared" si="356"/>
        <v>206</v>
      </c>
      <c r="AA863" s="264">
        <f t="shared" si="357"/>
        <v>0.12122248313761474</v>
      </c>
      <c r="AB863" s="241">
        <f t="shared" si="358"/>
        <v>8.8266235122787071E-2</v>
      </c>
      <c r="AC863" s="242">
        <f t="shared" si="359"/>
        <v>3.750237959261371E-2</v>
      </c>
      <c r="AD863" s="266">
        <f t="shared" si="360"/>
        <v>8.4606753268348697E-2</v>
      </c>
      <c r="AE863" s="261">
        <f t="shared" si="361"/>
        <v>2.3175217400548549</v>
      </c>
      <c r="AF863" s="239">
        <f>(V863/(1-$AA$858))</f>
        <v>2.3143022727272724</v>
      </c>
      <c r="AG863" s="1868">
        <v>4.37</v>
      </c>
      <c r="AH863" s="267">
        <f t="shared" si="362"/>
        <v>0.11999999999999997</v>
      </c>
      <c r="AI863" s="77">
        <f t="shared" si="363"/>
        <v>1.7286856308079374E-2</v>
      </c>
      <c r="AJ863" s="333">
        <f>[1]Статистика!D271</f>
        <v>852</v>
      </c>
      <c r="AK863" s="270">
        <f t="shared" si="364"/>
        <v>-224.55116835870325</v>
      </c>
      <c r="AL863" s="506">
        <f t="shared" si="365"/>
        <v>4.0213638951112005E-2</v>
      </c>
      <c r="AM863" s="77">
        <f t="shared" si="366"/>
        <v>1.1449227647465918E-3</v>
      </c>
      <c r="AN863" s="77">
        <f t="shared" si="367"/>
        <v>2.9450750070844777E-3</v>
      </c>
      <c r="AO863" s="13"/>
      <c r="AP863" s="13"/>
    </row>
    <row r="864" spans="1:42" ht="15.75">
      <c r="A864" s="187"/>
      <c r="B864" s="356" t="s">
        <v>1359</v>
      </c>
      <c r="C864" s="251" t="s">
        <v>1350</v>
      </c>
      <c r="D864" s="251">
        <v>275</v>
      </c>
      <c r="E864" s="251">
        <v>6</v>
      </c>
      <c r="F864" s="251">
        <v>60</v>
      </c>
      <c r="G864" s="1574">
        <v>268.88886746987953</v>
      </c>
      <c r="H864" s="1556">
        <f t="shared" si="343"/>
        <v>287.71108819277111</v>
      </c>
      <c r="I864" s="1556">
        <f t="shared" si="344"/>
        <v>146.73265497831326</v>
      </c>
      <c r="J864" s="1045">
        <f t="shared" si="345"/>
        <v>137.13332240963857</v>
      </c>
      <c r="K864" s="1094">
        <v>340</v>
      </c>
      <c r="L864" s="322">
        <v>273</v>
      </c>
      <c r="M864" s="385">
        <f t="shared" si="346"/>
        <v>0.99272727272727268</v>
      </c>
      <c r="N864" s="382">
        <f t="shared" si="347"/>
        <v>170</v>
      </c>
      <c r="O864" s="324">
        <f t="shared" si="348"/>
        <v>0.23966952023654442</v>
      </c>
      <c r="P864" s="1572">
        <f t="shared" si="349"/>
        <v>0.15856964508088267</v>
      </c>
      <c r="Q864" s="257">
        <v>3.16</v>
      </c>
      <c r="R864" s="258">
        <f t="shared" si="350"/>
        <v>148.62428</v>
      </c>
      <c r="S864" s="259">
        <f t="shared" si="351"/>
        <v>-8.3794058135893149E-2</v>
      </c>
      <c r="T864" s="260">
        <f t="shared" si="352"/>
        <v>-1.2891643117657165E-2</v>
      </c>
      <c r="U864" s="261">
        <f>Q864/1.2</f>
        <v>2.6333333333333337</v>
      </c>
      <c r="V864" s="239">
        <f t="shared" si="353"/>
        <v>3.1600000000000006</v>
      </c>
      <c r="W864" s="262">
        <f t="shared" si="354"/>
        <v>148.62428000000003</v>
      </c>
      <c r="X864" s="240">
        <f>(ROUND(W864/(1-$AA$858),0))</f>
        <v>169</v>
      </c>
      <c r="Y864" s="239">
        <f t="shared" si="355"/>
        <v>162.69</v>
      </c>
      <c r="Z864" s="240">
        <f t="shared" si="356"/>
        <v>319</v>
      </c>
      <c r="AA864" s="264">
        <f t="shared" si="357"/>
        <v>0.12056639053254421</v>
      </c>
      <c r="AB864" s="241">
        <f t="shared" si="358"/>
        <v>8.6457188518040268E-2</v>
      </c>
      <c r="AC864" s="242">
        <f t="shared" si="359"/>
        <v>4.4932079414838011E-2</v>
      </c>
      <c r="AD864" s="266">
        <f t="shared" si="360"/>
        <v>8.9312009803921344E-2</v>
      </c>
      <c r="AE864" s="261">
        <f t="shared" si="361"/>
        <v>3.6144834477919758</v>
      </c>
      <c r="AF864" s="239">
        <f>(V864/(1-$AA$858))</f>
        <v>3.5909090909090917</v>
      </c>
      <c r="AG864" s="1868">
        <v>6.78</v>
      </c>
      <c r="AH864" s="267">
        <f t="shared" si="362"/>
        <v>0.12000000000000004</v>
      </c>
      <c r="AI864" s="77">
        <f t="shared" si="363"/>
        <v>1.0469504524611451E-2</v>
      </c>
      <c r="AJ864" s="333">
        <f>[1]Статистика!D272</f>
        <v>516</v>
      </c>
      <c r="AK864" s="270">
        <f t="shared" si="364"/>
        <v>-136.63123943406194</v>
      </c>
      <c r="AL864" s="506">
        <f t="shared" si="365"/>
        <v>2.4468540387495821E-2</v>
      </c>
      <c r="AM864" s="77">
        <f t="shared" si="366"/>
        <v>6.9340392794511895E-4</v>
      </c>
      <c r="AN864" s="77">
        <f t="shared" si="367"/>
        <v>1.7919712971675348E-3</v>
      </c>
      <c r="AO864" s="13"/>
      <c r="AP864" s="13"/>
    </row>
    <row r="865" spans="1:42" ht="16.5" thickBot="1">
      <c r="A865" s="187"/>
      <c r="B865" s="359" t="s">
        <v>1360</v>
      </c>
      <c r="C865" s="276" t="s">
        <v>1352</v>
      </c>
      <c r="D865" s="276">
        <v>425</v>
      </c>
      <c r="E865" s="276">
        <v>5</v>
      </c>
      <c r="F865" s="276">
        <v>30</v>
      </c>
      <c r="G865" s="1575">
        <v>415.50881927710844</v>
      </c>
      <c r="H865" s="1576">
        <f t="shared" si="343"/>
        <v>444.59443662650608</v>
      </c>
      <c r="I865" s="1556">
        <f t="shared" si="344"/>
        <v>226.74316267951809</v>
      </c>
      <c r="J865" s="1045">
        <f t="shared" si="345"/>
        <v>211.9094978313253</v>
      </c>
      <c r="K865" s="900">
        <v>515</v>
      </c>
      <c r="L865" s="341">
        <v>423</v>
      </c>
      <c r="M865" s="896">
        <f t="shared" si="346"/>
        <v>0.99529411764705877</v>
      </c>
      <c r="N865" s="390">
        <f t="shared" si="347"/>
        <v>257.5</v>
      </c>
      <c r="O865" s="283">
        <f t="shared" si="348"/>
        <v>0.21514138174667186</v>
      </c>
      <c r="P865" s="572">
        <f t="shared" si="349"/>
        <v>0.13564615116511392</v>
      </c>
      <c r="Q865" s="284">
        <v>4.9716666666666676</v>
      </c>
      <c r="R865" s="285">
        <f t="shared" si="350"/>
        <v>233.83239833333337</v>
      </c>
      <c r="S865" s="286">
        <f t="shared" si="351"/>
        <v>-0.10345407226370835</v>
      </c>
      <c r="T865" s="287">
        <f t="shared" si="352"/>
        <v>-3.1265488096923581E-2</v>
      </c>
      <c r="U865" s="261">
        <f>Q865/1.2</f>
        <v>4.1430555555555566</v>
      </c>
      <c r="V865" s="239">
        <f t="shared" si="353"/>
        <v>4.9716666666666676</v>
      </c>
      <c r="W865" s="289">
        <f t="shared" si="354"/>
        <v>233.83239833333337</v>
      </c>
      <c r="X865" s="240">
        <f>(ROUND(W865/(1-$AA$858),0))</f>
        <v>266</v>
      </c>
      <c r="Y865" s="291">
        <f t="shared" si="355"/>
        <v>256.02</v>
      </c>
      <c r="Z865" s="240">
        <f t="shared" si="356"/>
        <v>502</v>
      </c>
      <c r="AA865" s="292">
        <f t="shared" si="357"/>
        <v>0.12093083333333318</v>
      </c>
      <c r="AB865" s="241">
        <f t="shared" si="358"/>
        <v>8.6663548420696082E-2</v>
      </c>
      <c r="AC865" s="345">
        <f t="shared" si="359"/>
        <v>5.7807983751270164E-3</v>
      </c>
      <c r="AD865" s="294">
        <f t="shared" si="360"/>
        <v>5.4076058522114147E-2</v>
      </c>
      <c r="AE865" s="288">
        <f t="shared" si="361"/>
        <v>5.4748793400378455</v>
      </c>
      <c r="AF865" s="239">
        <f>(V865/(1-$AA$858))</f>
        <v>5.6496212121212128</v>
      </c>
      <c r="AG865" s="1868">
        <f>AF865/(1-$X$828)</f>
        <v>10.659662664379645</v>
      </c>
      <c r="AH865" s="295">
        <f t="shared" si="362"/>
        <v>0.11999999999999995</v>
      </c>
      <c r="AI865" s="77">
        <f t="shared" si="363"/>
        <v>6.4724262468043667E-3</v>
      </c>
      <c r="AJ865" s="333">
        <f>[1]Статистика!D273</f>
        <v>319</v>
      </c>
      <c r="AK865" s="270">
        <f t="shared" si="364"/>
        <v>-164.07419287080472</v>
      </c>
      <c r="AL865" s="506">
        <f t="shared" si="365"/>
        <v>2.9383148622775482E-2</v>
      </c>
      <c r="AM865" s="77">
        <f t="shared" si="366"/>
        <v>4.2867413374901732E-4</v>
      </c>
      <c r="AN865" s="77">
        <f t="shared" si="367"/>
        <v>2.1518961948105877E-3</v>
      </c>
      <c r="AO865" s="13"/>
      <c r="AP865" s="13"/>
    </row>
    <row r="866" spans="1:42" ht="15.75" thickBot="1">
      <c r="A866" s="149" t="s">
        <v>20</v>
      </c>
      <c r="C866" s="157" t="s">
        <v>21</v>
      </c>
      <c r="J866" s="532"/>
      <c r="K866" s="533"/>
      <c r="P866" s="199"/>
      <c r="S866" s="364"/>
      <c r="T866" s="364"/>
      <c r="U866" s="872"/>
      <c r="V866" s="872"/>
      <c r="W866" s="872"/>
      <c r="X866" s="872"/>
      <c r="Y866" s="872"/>
      <c r="Z866" s="872"/>
      <c r="AA866" s="364"/>
      <c r="AB866" s="364"/>
      <c r="AC866" s="364"/>
      <c r="AD866" s="364">
        <f>AVERAGE(AD860:AD865)</f>
        <v>5.0793225875131456E-3</v>
      </c>
      <c r="AE866" s="872"/>
      <c r="AF866" s="872"/>
      <c r="AG866" s="1882"/>
      <c r="AH866" s="364"/>
      <c r="AI866" s="512">
        <f>S860*AI860+S861*AI861+S862*AI862+S863*AI863+S864*AI864+S865*AI865</f>
        <v>-0.14931578279091076</v>
      </c>
      <c r="AJ866" s="513">
        <f>SUM(AJ860:AJ865)</f>
        <v>49286</v>
      </c>
      <c r="AK866" s="514">
        <f>SUM(AK860:AK865)</f>
        <v>-5583.9554493362721</v>
      </c>
      <c r="AM866" s="307">
        <f>SUM(AM860:AM865)</f>
        <v>6.6230825567254126E-2</v>
      </c>
      <c r="AN866" s="307">
        <f>SUM(AN860:AN865)</f>
        <v>7.3235725089809092E-2</v>
      </c>
      <c r="AO866" s="13"/>
      <c r="AP866" s="13"/>
    </row>
    <row r="867" spans="1:42" ht="15.75" thickBot="1">
      <c r="A867" s="187"/>
      <c r="B867" s="157"/>
      <c r="C867" s="148" t="s">
        <v>9</v>
      </c>
      <c r="J867" s="532"/>
      <c r="K867" s="2309" t="s">
        <v>1361</v>
      </c>
      <c r="L867" s="2309"/>
      <c r="M867" s="2309"/>
      <c r="N867" s="2309"/>
      <c r="O867" s="2309"/>
      <c r="P867" s="1852"/>
      <c r="T867" s="1851"/>
      <c r="U867" s="309"/>
      <c r="V867" s="309"/>
      <c r="W867" s="309"/>
      <c r="X867" s="309"/>
      <c r="Y867" s="309"/>
      <c r="Z867" s="309"/>
      <c r="AA867" s="346">
        <v>0.22</v>
      </c>
      <c r="AB867" s="628">
        <v>0.12</v>
      </c>
      <c r="AC867" s="628">
        <v>0.18</v>
      </c>
      <c r="AD867" s="628">
        <v>0.08</v>
      </c>
      <c r="AE867" s="188"/>
      <c r="AF867" s="188"/>
      <c r="AG867" s="1866"/>
      <c r="AH867" s="1851"/>
      <c r="AO867" s="13"/>
      <c r="AP867" s="13"/>
    </row>
    <row r="868" spans="1:42" ht="60.75" thickBot="1">
      <c r="A868" s="187"/>
      <c r="B868" s="189" t="s">
        <v>10</v>
      </c>
      <c r="C868" s="1326" t="s">
        <v>11</v>
      </c>
      <c r="D868" s="190" t="s">
        <v>12</v>
      </c>
      <c r="E868" s="190" t="s">
        <v>13</v>
      </c>
      <c r="F868" s="190" t="s">
        <v>14</v>
      </c>
      <c r="G868" s="191" t="s">
        <v>15</v>
      </c>
      <c r="H868" s="347" t="s">
        <v>1090</v>
      </c>
      <c r="I868" s="347">
        <f>$C$20</f>
        <v>0.49</v>
      </c>
      <c r="J868" s="873">
        <f>$C$20</f>
        <v>0.49</v>
      </c>
      <c r="K868" s="601" t="s">
        <v>15</v>
      </c>
      <c r="L868" s="315" t="s">
        <v>12</v>
      </c>
      <c r="M868" s="316" t="s">
        <v>1091</v>
      </c>
      <c r="N868" s="605" t="s">
        <v>993</v>
      </c>
      <c r="O868" s="317" t="s">
        <v>1092</v>
      </c>
      <c r="P868" s="199" t="s">
        <v>1092</v>
      </c>
      <c r="Q868" s="200" t="s">
        <v>1093</v>
      </c>
      <c r="R868" s="201" t="s">
        <v>1094</v>
      </c>
      <c r="S868" s="350" t="s">
        <v>1095</v>
      </c>
      <c r="T868" s="203" t="s">
        <v>1095</v>
      </c>
      <c r="U868" s="204" t="s">
        <v>1096</v>
      </c>
      <c r="V868" s="205" t="s">
        <v>1093</v>
      </c>
      <c r="W868" s="206" t="s">
        <v>1094</v>
      </c>
      <c r="X868" s="207" t="s">
        <v>1097</v>
      </c>
      <c r="Y868" s="208">
        <f>$X$33</f>
        <v>0.49</v>
      </c>
      <c r="Z868" s="207" t="s">
        <v>1098</v>
      </c>
      <c r="AA868" s="209" t="s">
        <v>1099</v>
      </c>
      <c r="AB868" s="209" t="s">
        <v>1100</v>
      </c>
      <c r="AC868" s="210" t="s">
        <v>1092</v>
      </c>
      <c r="AD868" s="211" t="s">
        <v>1101</v>
      </c>
      <c r="AE868" s="212" t="s">
        <v>1102</v>
      </c>
      <c r="AF868" s="208" t="s">
        <v>1103</v>
      </c>
      <c r="AG868" s="1867" t="s">
        <v>1104</v>
      </c>
      <c r="AH868" s="213" t="s">
        <v>1105</v>
      </c>
      <c r="AI868" s="220" t="s">
        <v>1106</v>
      </c>
      <c r="AJ868" s="483" t="s">
        <v>1107</v>
      </c>
      <c r="AK868" s="484" t="s">
        <v>1108</v>
      </c>
      <c r="AL868" s="221" t="s">
        <v>1109</v>
      </c>
      <c r="AM868" s="221" t="s">
        <v>1175</v>
      </c>
      <c r="AN868" s="221" t="s">
        <v>1176</v>
      </c>
      <c r="AO868" s="13"/>
      <c r="AP868" s="13"/>
    </row>
    <row r="869" spans="1:42" ht="15.75">
      <c r="A869" s="187"/>
      <c r="B869" s="250" t="s">
        <v>210</v>
      </c>
      <c r="C869" s="251" t="s">
        <v>211</v>
      </c>
      <c r="D869" s="251">
        <v>64</v>
      </c>
      <c r="E869" s="251">
        <v>10</v>
      </c>
      <c r="F869" s="251">
        <v>300</v>
      </c>
      <c r="G869" s="328">
        <v>56</v>
      </c>
      <c r="H869" s="453">
        <f t="shared" ref="H869:H874" si="368">G869*(1+$H$33)</f>
        <v>59.92</v>
      </c>
      <c r="I869" s="453">
        <f>H869-H869*$J$833</f>
        <v>30.559200000000001</v>
      </c>
      <c r="J869" s="1045">
        <f t="shared" ref="J869:J874" si="369">G869-G869*$J$833</f>
        <v>28.560000000000002</v>
      </c>
      <c r="K869" s="912">
        <v>81</v>
      </c>
      <c r="L869" s="322">
        <v>73</v>
      </c>
      <c r="M869" s="335">
        <f t="shared" ref="M869:M878" si="370">L869/D869*100%</f>
        <v>1.140625</v>
      </c>
      <c r="N869" s="382">
        <f t="shared" ref="N869:N878" si="371">K869-(K869*$O$33)</f>
        <v>40.5</v>
      </c>
      <c r="O869" s="469">
        <f t="shared" ref="O869:O874" si="372">((N869/J869)-1)*100%</f>
        <v>0.41806722689075615</v>
      </c>
      <c r="P869" s="1511">
        <f t="shared" ref="P869:P878" si="373">((N869/I869)-1)*100%</f>
        <v>0.32529647372967885</v>
      </c>
      <c r="Q869" s="234">
        <v>0.68378658262044123</v>
      </c>
      <c r="R869" s="235">
        <f t="shared" ref="R869:R878" si="374">Q869*$R$33</f>
        <v>32.160534340387215</v>
      </c>
      <c r="S869" s="236">
        <f t="shared" ref="S869:S874" si="375">((J869-R869)/J869)*100%</f>
        <v>-0.12606912956537861</v>
      </c>
      <c r="T869" s="237">
        <f t="shared" ref="T869:T878" si="376">((I869-R869)/I869)*100%</f>
        <v>-5.2401055668578195E-2</v>
      </c>
      <c r="U869" s="238">
        <v>0.57523999999999997</v>
      </c>
      <c r="V869" s="239">
        <f t="shared" ref="V869:V878" si="377">U869*$X$31</f>
        <v>0.6902879999999999</v>
      </c>
      <c r="W869" s="239">
        <f t="shared" ref="W869:W878" si="378">V869*$R$33</f>
        <v>32.466315503999994</v>
      </c>
      <c r="X869" s="240">
        <f>(ROUND(W869/(1-$AA$867),0))</f>
        <v>42</v>
      </c>
      <c r="Y869" s="239">
        <f t="shared" ref="Y869:Y878" si="379">Z869*(1-$X$33)</f>
        <v>40.29</v>
      </c>
      <c r="Z869" s="240">
        <f t="shared" ref="Z869:Z878" si="380">ROUND(X869/(1-$X$828),0)</f>
        <v>79</v>
      </c>
      <c r="AA869" s="241">
        <f t="shared" ref="AA869:AA878" si="381">((X869-W869)/X869)*100%</f>
        <v>0.22699248800000016</v>
      </c>
      <c r="AB869" s="241">
        <f t="shared" ref="AB869:AB878" si="382">((Y869-W869)/Y869)*100%</f>
        <v>0.1941842763961282</v>
      </c>
      <c r="AC869" s="242">
        <f t="shared" ref="AC869:AC878" si="383">((N869/Y869)-1)*100%</f>
        <v>5.2122114668653463E-3</v>
      </c>
      <c r="AD869" s="243">
        <f t="shared" ref="AD869:AD878" si="384">((N869*0.96-W869)/(N869*0.96))*100%</f>
        <v>0.16496102098765439</v>
      </c>
      <c r="AE869" s="238">
        <f t="shared" ref="AE869:AE878" si="385">N869/$R$33</f>
        <v>0.8610975272680883</v>
      </c>
      <c r="AF869" s="239">
        <f>(V869/(1-$AA$867))</f>
        <v>0.88498461538461526</v>
      </c>
      <c r="AG869" s="1868">
        <f>AF869/(1-$X$828)</f>
        <v>1.6697822931785193</v>
      </c>
      <c r="AH869" s="244">
        <f t="shared" ref="AH869:AH878" si="386">((AF869-V869)/AF869)*100%</f>
        <v>0.22</v>
      </c>
      <c r="AI869" s="1372">
        <f t="shared" ref="AI869:AI874" si="387">AJ869/$AJ$879</f>
        <v>0.51471187545847252</v>
      </c>
      <c r="AJ869" s="338">
        <f>[1]Статистика!D250</f>
        <v>12630</v>
      </c>
      <c r="AK869" s="297">
        <f t="shared" ref="AK869:AK874" si="388">Q869*S869*AJ869</f>
        <v>-1088.761310299376</v>
      </c>
      <c r="AL869" s="866">
        <f t="shared" ref="AL869:AL874" si="389">AK869/$AK$879</f>
        <v>0.5093888711253729</v>
      </c>
      <c r="AM869" s="92">
        <f t="shared" ref="AM869:AM874" si="390">AJ869/$AJ$1101</f>
        <v>1.6972270561912504E-2</v>
      </c>
      <c r="AN869" s="92">
        <f t="shared" ref="AN869:AN874" si="391">AK869/$AK$1101</f>
        <v>1.4279523669728266E-2</v>
      </c>
      <c r="AO869" s="13"/>
      <c r="AP869" s="13"/>
    </row>
    <row r="870" spans="1:42" ht="15.75">
      <c r="A870" s="187"/>
      <c r="B870" s="250" t="s">
        <v>212</v>
      </c>
      <c r="C870" s="251" t="s">
        <v>213</v>
      </c>
      <c r="D870" s="251">
        <v>87</v>
      </c>
      <c r="E870" s="251">
        <v>10</v>
      </c>
      <c r="F870" s="251">
        <v>250</v>
      </c>
      <c r="G870" s="328">
        <v>88</v>
      </c>
      <c r="H870" s="453">
        <f t="shared" si="368"/>
        <v>94.160000000000011</v>
      </c>
      <c r="I870" s="453">
        <f>H870-H870*$J$833</f>
        <v>48.021600000000007</v>
      </c>
      <c r="J870" s="1045">
        <f t="shared" si="369"/>
        <v>44.88</v>
      </c>
      <c r="K870" s="912">
        <v>115</v>
      </c>
      <c r="L870" s="322">
        <v>94</v>
      </c>
      <c r="M870" s="335">
        <f t="shared" si="370"/>
        <v>1.0804597701149425</v>
      </c>
      <c r="N870" s="382">
        <f t="shared" si="371"/>
        <v>57.5</v>
      </c>
      <c r="O870" s="469">
        <f t="shared" si="372"/>
        <v>0.28119429590017808</v>
      </c>
      <c r="P870" s="1511">
        <f t="shared" si="373"/>
        <v>0.19737784663568037</v>
      </c>
      <c r="Q870" s="257">
        <v>0.94000000000000006</v>
      </c>
      <c r="R870" s="258">
        <f t="shared" si="374"/>
        <v>44.211020000000005</v>
      </c>
      <c r="S870" s="259">
        <f t="shared" si="375"/>
        <v>1.4905971479500839E-2</v>
      </c>
      <c r="T870" s="260">
        <f t="shared" si="376"/>
        <v>7.9351375214486833E-2</v>
      </c>
      <c r="U870" s="261">
        <v>0.77913500000000002</v>
      </c>
      <c r="V870" s="239">
        <f t="shared" si="377"/>
        <v>0.93496199999999996</v>
      </c>
      <c r="W870" s="262">
        <f t="shared" si="378"/>
        <v>43.974067745999996</v>
      </c>
      <c r="X870" s="240">
        <f>(ROUND(W870/(1-$AA$867),0))</f>
        <v>56</v>
      </c>
      <c r="Y870" s="239">
        <f t="shared" si="379"/>
        <v>54.06</v>
      </c>
      <c r="Z870" s="240">
        <f t="shared" si="380"/>
        <v>106</v>
      </c>
      <c r="AA870" s="264">
        <f t="shared" si="381"/>
        <v>0.21474879025000007</v>
      </c>
      <c r="AB870" s="241">
        <f t="shared" si="382"/>
        <v>0.18656922408435084</v>
      </c>
      <c r="AC870" s="242">
        <f t="shared" si="383"/>
        <v>6.3633000369959225E-2</v>
      </c>
      <c r="AD870" s="266">
        <f t="shared" si="384"/>
        <v>0.20336833793478262</v>
      </c>
      <c r="AE870" s="261">
        <f t="shared" si="385"/>
        <v>1.2225458720472859</v>
      </c>
      <c r="AF870" s="239">
        <f>(V870/(1-$AA$867))</f>
        <v>1.1986692307692306</v>
      </c>
      <c r="AG870" s="1868">
        <v>2.2599999999999998</v>
      </c>
      <c r="AH870" s="267">
        <f t="shared" si="386"/>
        <v>0.21999999999999992</v>
      </c>
      <c r="AI870" s="1374">
        <f t="shared" si="387"/>
        <v>0.18660852555220475</v>
      </c>
      <c r="AJ870" s="333">
        <f>[1]Статистика!D251</f>
        <v>4579</v>
      </c>
      <c r="AK870" s="270">
        <f t="shared" si="388"/>
        <v>64.159176800356292</v>
      </c>
      <c r="AL870" s="506">
        <f t="shared" si="389"/>
        <v>-3.0017571650925185E-2</v>
      </c>
      <c r="AM870" s="77">
        <f t="shared" si="390"/>
        <v>6.153287957481976E-3</v>
      </c>
      <c r="AN870" s="77">
        <f t="shared" si="391"/>
        <v>-8.4147229983682259E-4</v>
      </c>
      <c r="AO870" s="13"/>
      <c r="AP870" s="13"/>
    </row>
    <row r="871" spans="1:42" ht="15.75">
      <c r="A871" s="271"/>
      <c r="B871" s="699" t="s">
        <v>214</v>
      </c>
      <c r="C871" s="251" t="s">
        <v>215</v>
      </c>
      <c r="D871" s="251">
        <v>104</v>
      </c>
      <c r="E871" s="251">
        <v>10</v>
      </c>
      <c r="F871" s="251">
        <v>150</v>
      </c>
      <c r="G871" s="328">
        <v>96</v>
      </c>
      <c r="H871" s="453">
        <f t="shared" si="368"/>
        <v>102.72</v>
      </c>
      <c r="I871" s="453">
        <f t="shared" ref="I871:I878" si="392">H871-H871*$J$833</f>
        <v>52.3872</v>
      </c>
      <c r="J871" s="1045">
        <f t="shared" si="369"/>
        <v>48.96</v>
      </c>
      <c r="K871" s="912">
        <v>141</v>
      </c>
      <c r="L871" s="322">
        <v>121</v>
      </c>
      <c r="M871" s="335">
        <f t="shared" si="370"/>
        <v>1.1634615384615385</v>
      </c>
      <c r="N871" s="382">
        <f t="shared" si="371"/>
        <v>70.5</v>
      </c>
      <c r="O871" s="469">
        <f t="shared" si="372"/>
        <v>0.43995098039215685</v>
      </c>
      <c r="P871" s="1511">
        <f t="shared" si="373"/>
        <v>0.34574857980575402</v>
      </c>
      <c r="Q871" s="273">
        <v>1.1043661971830987</v>
      </c>
      <c r="R871" s="258">
        <f t="shared" si="374"/>
        <v>51.941655352112683</v>
      </c>
      <c r="S871" s="259">
        <f t="shared" si="375"/>
        <v>-6.0899823368314586E-2</v>
      </c>
      <c r="T871" s="260">
        <f t="shared" si="376"/>
        <v>8.5048379735377551E-3</v>
      </c>
      <c r="U871" s="261">
        <v>0.92294500000000002</v>
      </c>
      <c r="V871" s="239">
        <f t="shared" si="377"/>
        <v>1.107534</v>
      </c>
      <c r="W871" s="262">
        <f t="shared" si="378"/>
        <v>52.090646622000001</v>
      </c>
      <c r="X871" s="240">
        <f>(ROUND(W871/(1-$AA$867),0))</f>
        <v>67</v>
      </c>
      <c r="Y871" s="239">
        <f t="shared" si="379"/>
        <v>64.260000000000005</v>
      </c>
      <c r="Z871" s="240">
        <f t="shared" si="380"/>
        <v>126</v>
      </c>
      <c r="AA871" s="264">
        <f t="shared" si="381"/>
        <v>0.22252766235820895</v>
      </c>
      <c r="AB871" s="241">
        <f t="shared" si="382"/>
        <v>0.1893768032679739</v>
      </c>
      <c r="AC871" s="242">
        <f t="shared" si="383"/>
        <v>9.710550887021463E-2</v>
      </c>
      <c r="AD871" s="266">
        <f t="shared" si="384"/>
        <v>0.23033914565602825</v>
      </c>
      <c r="AE871" s="261">
        <f t="shared" si="385"/>
        <v>1.4989475474666722</v>
      </c>
      <c r="AF871" s="239">
        <f>(V871/(1-$AA$867))</f>
        <v>1.4199153846153847</v>
      </c>
      <c r="AG871" s="1868">
        <v>2.68</v>
      </c>
      <c r="AH871" s="267">
        <f t="shared" si="386"/>
        <v>0.22000000000000003</v>
      </c>
      <c r="AI871" s="1374">
        <f t="shared" si="387"/>
        <v>0.20372483494987367</v>
      </c>
      <c r="AJ871" s="333">
        <f>[1]Статистика!D252</f>
        <v>4999</v>
      </c>
      <c r="AK871" s="270">
        <f t="shared" si="388"/>
        <v>-336.2112760055976</v>
      </c>
      <c r="AL871" s="506">
        <f t="shared" si="389"/>
        <v>0.1573001177797369</v>
      </c>
      <c r="AM871" s="77">
        <f t="shared" si="390"/>
        <v>6.7176865034838176E-3</v>
      </c>
      <c r="AN871" s="77">
        <f t="shared" si="391"/>
        <v>4.4095402989947942E-3</v>
      </c>
      <c r="AO871" s="13"/>
      <c r="AP871" s="13"/>
    </row>
    <row r="872" spans="1:42" ht="15.75">
      <c r="A872" s="187"/>
      <c r="B872" s="657" t="s">
        <v>216</v>
      </c>
      <c r="C872" s="926" t="s">
        <v>217</v>
      </c>
      <c r="D872" s="926">
        <v>216</v>
      </c>
      <c r="E872" s="926">
        <v>10</v>
      </c>
      <c r="F872" s="926">
        <v>100</v>
      </c>
      <c r="G872" s="433">
        <v>168</v>
      </c>
      <c r="H872" s="453">
        <f t="shared" si="368"/>
        <v>179.76000000000002</v>
      </c>
      <c r="I872" s="453">
        <f t="shared" si="392"/>
        <v>91.677600000000012</v>
      </c>
      <c r="J872" s="1567">
        <f t="shared" si="369"/>
        <v>85.68</v>
      </c>
      <c r="K872" s="1007">
        <v>187</v>
      </c>
      <c r="L872" s="929">
        <v>145</v>
      </c>
      <c r="M872" s="495">
        <f t="shared" si="370"/>
        <v>0.67129629629629628</v>
      </c>
      <c r="N872" s="496">
        <f t="shared" si="371"/>
        <v>93.5</v>
      </c>
      <c r="O872" s="1521">
        <f t="shared" si="372"/>
        <v>9.1269841269841168E-2</v>
      </c>
      <c r="P872" s="1577">
        <f t="shared" si="373"/>
        <v>1.9878356326954227E-2</v>
      </c>
      <c r="Q872" s="1570">
        <v>2.34</v>
      </c>
      <c r="R872" s="650">
        <f t="shared" si="374"/>
        <v>110.05722</v>
      </c>
      <c r="S872" s="1519">
        <f t="shared" si="375"/>
        <v>-0.28451470588235284</v>
      </c>
      <c r="T872" s="260">
        <f t="shared" si="376"/>
        <v>-0.20048103353490915</v>
      </c>
      <c r="U872" s="261">
        <v>1.921735</v>
      </c>
      <c r="V872" s="239">
        <f t="shared" si="377"/>
        <v>2.306082</v>
      </c>
      <c r="W872" s="262">
        <f t="shared" si="378"/>
        <v>108.461954706</v>
      </c>
      <c r="X872" s="240">
        <f>(ROUND(W872/(1-$AB$867),0))</f>
        <v>123</v>
      </c>
      <c r="Y872" s="239">
        <f t="shared" si="379"/>
        <v>118.32000000000001</v>
      </c>
      <c r="Z872" s="240">
        <f t="shared" si="380"/>
        <v>232</v>
      </c>
      <c r="AA872" s="264">
        <f t="shared" si="381"/>
        <v>0.11819549019512195</v>
      </c>
      <c r="AB872" s="241">
        <f t="shared" si="382"/>
        <v>8.3316812829614659E-2</v>
      </c>
      <c r="AC872" s="265">
        <f t="shared" si="383"/>
        <v>-0.20977011494252884</v>
      </c>
      <c r="AD872" s="266">
        <f t="shared" si="384"/>
        <v>-0.20835511036096269</v>
      </c>
      <c r="AE872" s="261">
        <f t="shared" si="385"/>
        <v>1.9879658962855866</v>
      </c>
      <c r="AF872" s="239">
        <f>(V872/(1-$AB$867))</f>
        <v>2.6205477272727271</v>
      </c>
      <c r="AG872" s="1868">
        <v>4.9400000000000004</v>
      </c>
      <c r="AH872" s="267">
        <f t="shared" si="386"/>
        <v>0.11999999999999995</v>
      </c>
      <c r="AI872" s="1374">
        <f t="shared" si="387"/>
        <v>2.4003586274349988E-2</v>
      </c>
      <c r="AJ872" s="333">
        <f>[1]Статистика!D253</f>
        <v>589</v>
      </c>
      <c r="AK872" s="270">
        <f t="shared" si="388"/>
        <v>-392.13523852941159</v>
      </c>
      <c r="AL872" s="506">
        <f t="shared" si="389"/>
        <v>0.18346475448144908</v>
      </c>
      <c r="AM872" s="77">
        <f t="shared" si="390"/>
        <v>7.915017704644866E-4</v>
      </c>
      <c r="AN872" s="77">
        <f t="shared" si="391"/>
        <v>5.1430045937025269E-3</v>
      </c>
      <c r="AO872" s="13"/>
      <c r="AP872" s="13"/>
    </row>
    <row r="873" spans="1:42" ht="15.75">
      <c r="A873" s="187"/>
      <c r="B873" s="699" t="s">
        <v>218</v>
      </c>
      <c r="C873" s="251" t="s">
        <v>219</v>
      </c>
      <c r="D873" s="251">
        <v>171</v>
      </c>
      <c r="E873" s="251">
        <v>10</v>
      </c>
      <c r="F873" s="251">
        <v>100</v>
      </c>
      <c r="G873" s="328">
        <v>154</v>
      </c>
      <c r="H873" s="453">
        <f t="shared" si="368"/>
        <v>164.78</v>
      </c>
      <c r="I873" s="453">
        <f t="shared" si="392"/>
        <v>84.037800000000004</v>
      </c>
      <c r="J873" s="1045">
        <f t="shared" si="369"/>
        <v>78.540000000000006</v>
      </c>
      <c r="K873" s="912">
        <v>206</v>
      </c>
      <c r="L873" s="322">
        <v>189</v>
      </c>
      <c r="M873" s="335">
        <f t="shared" si="370"/>
        <v>1.1052631578947369</v>
      </c>
      <c r="N873" s="382">
        <f t="shared" si="371"/>
        <v>103</v>
      </c>
      <c r="O873" s="469">
        <f t="shared" si="372"/>
        <v>0.31143366437484077</v>
      </c>
      <c r="P873" s="1511">
        <f t="shared" si="373"/>
        <v>0.22563893866807549</v>
      </c>
      <c r="Q873" s="257">
        <v>1.8867899075693229</v>
      </c>
      <c r="R873" s="258">
        <f t="shared" si="374"/>
        <v>88.741389722707964</v>
      </c>
      <c r="S873" s="259">
        <f t="shared" si="375"/>
        <v>-0.12988782432783241</v>
      </c>
      <c r="T873" s="260">
        <f t="shared" si="376"/>
        <v>-5.5969929278348075E-2</v>
      </c>
      <c r="U873" s="261">
        <v>1.535615</v>
      </c>
      <c r="V873" s="239">
        <f t="shared" si="377"/>
        <v>1.8427379999999998</v>
      </c>
      <c r="W873" s="262">
        <f t="shared" si="378"/>
        <v>86.669496353999989</v>
      </c>
      <c r="X873" s="240">
        <f>(ROUND(W873/(1-$AC$867),0))</f>
        <v>106</v>
      </c>
      <c r="Y873" s="239">
        <f t="shared" si="379"/>
        <v>102</v>
      </c>
      <c r="Z873" s="240">
        <f t="shared" si="380"/>
        <v>200</v>
      </c>
      <c r="AA873" s="264">
        <f t="shared" si="381"/>
        <v>0.18236324194339634</v>
      </c>
      <c r="AB873" s="241">
        <f t="shared" si="382"/>
        <v>0.15029905535294127</v>
      </c>
      <c r="AC873" s="242">
        <f t="shared" si="383"/>
        <v>9.8039215686274161E-3</v>
      </c>
      <c r="AD873" s="266">
        <f t="shared" si="384"/>
        <v>0.12348810321601948</v>
      </c>
      <c r="AE873" s="261">
        <f t="shared" si="385"/>
        <v>2.1899517360151384</v>
      </c>
      <c r="AF873" s="239">
        <f>(V873/(1-$AC$867))</f>
        <v>2.2472414634146336</v>
      </c>
      <c r="AG873" s="1868">
        <f>AF873/(1-$X$828)</f>
        <v>4.2400782328577993</v>
      </c>
      <c r="AH873" s="267">
        <f t="shared" si="386"/>
        <v>0.17999999999999991</v>
      </c>
      <c r="AI873" s="1374">
        <f t="shared" si="387"/>
        <v>5.1430434428233758E-2</v>
      </c>
      <c r="AJ873" s="333">
        <f>[1]Статистика!D254</f>
        <v>1262</v>
      </c>
      <c r="AK873" s="270">
        <f t="shared" si="388"/>
        <v>-309.2796475050589</v>
      </c>
      <c r="AL873" s="506">
        <f t="shared" si="389"/>
        <v>0.14469986122241574</v>
      </c>
      <c r="AM873" s="77">
        <f t="shared" si="390"/>
        <v>1.6958832501293413E-3</v>
      </c>
      <c r="AN873" s="77">
        <f t="shared" si="391"/>
        <v>4.0563216247088522E-3</v>
      </c>
      <c r="AO873" s="13"/>
      <c r="AP873" s="13"/>
    </row>
    <row r="874" spans="1:42" ht="15.75">
      <c r="A874" s="187"/>
      <c r="B874" s="699" t="s">
        <v>1362</v>
      </c>
      <c r="C874" s="251" t="s">
        <v>698</v>
      </c>
      <c r="D874" s="251">
        <v>145</v>
      </c>
      <c r="E874" s="251">
        <v>10</v>
      </c>
      <c r="F874" s="251">
        <v>100</v>
      </c>
      <c r="G874" s="1578">
        <v>141.79084337349394</v>
      </c>
      <c r="H874" s="453">
        <f t="shared" si="368"/>
        <v>151.71620240963853</v>
      </c>
      <c r="I874" s="453">
        <f t="shared" si="392"/>
        <v>77.375263228915657</v>
      </c>
      <c r="J874" s="1045">
        <f t="shared" si="369"/>
        <v>72.313330120481908</v>
      </c>
      <c r="K874" s="912">
        <v>188</v>
      </c>
      <c r="L874" s="322">
        <v>143</v>
      </c>
      <c r="M874" s="335">
        <f t="shared" si="370"/>
        <v>0.98620689655172411</v>
      </c>
      <c r="N874" s="382">
        <f t="shared" si="371"/>
        <v>94</v>
      </c>
      <c r="O874" s="469">
        <f t="shared" si="372"/>
        <v>0.29989864722570148</v>
      </c>
      <c r="P874" s="1579">
        <f t="shared" si="373"/>
        <v>0.21485854880906641</v>
      </c>
      <c r="Q874" s="1580">
        <v>1.6810144927536232</v>
      </c>
      <c r="R874" s="382">
        <f t="shared" si="374"/>
        <v>79.063154637681166</v>
      </c>
      <c r="S874" s="918">
        <f t="shared" si="375"/>
        <v>-9.334135913742754E-2</v>
      </c>
      <c r="T874" s="696">
        <f t="shared" si="376"/>
        <v>-2.1814354334044224E-2</v>
      </c>
      <c r="U874" s="261">
        <f>Q874/1.2</f>
        <v>1.4008454106280195</v>
      </c>
      <c r="V874" s="1581">
        <f t="shared" si="377"/>
        <v>1.6810144927536232</v>
      </c>
      <c r="W874" s="1582">
        <f t="shared" si="378"/>
        <v>79.063154637681166</v>
      </c>
      <c r="X874" s="1583">
        <f>(ROUND(W874/(1-$AC$867),0))</f>
        <v>96</v>
      </c>
      <c r="Y874" s="1581">
        <f t="shared" si="379"/>
        <v>92.31</v>
      </c>
      <c r="Z874" s="1583">
        <f t="shared" si="380"/>
        <v>181</v>
      </c>
      <c r="AA874" s="717">
        <f t="shared" si="381"/>
        <v>0.17642547252415453</v>
      </c>
      <c r="AB874" s="718">
        <f t="shared" si="382"/>
        <v>0.14350390382752504</v>
      </c>
      <c r="AC874" s="719">
        <f t="shared" si="383"/>
        <v>1.8307875636442317E-2</v>
      </c>
      <c r="AD874" s="1584">
        <f t="shared" si="384"/>
        <v>0.12385688566399412</v>
      </c>
      <c r="AE874" s="1585">
        <f t="shared" si="385"/>
        <v>1.9985967299555631</v>
      </c>
      <c r="AF874" s="1581">
        <f>(V874/(1-$AC$867))</f>
        <v>2.0500176740897844</v>
      </c>
      <c r="AG874" s="1899">
        <v>3.87</v>
      </c>
      <c r="AH874" s="1586">
        <f t="shared" si="386"/>
        <v>0.18</v>
      </c>
      <c r="AI874" s="1374">
        <f t="shared" si="387"/>
        <v>1.9520743336865272E-2</v>
      </c>
      <c r="AJ874" s="333">
        <f>[1]Статистика!D255</f>
        <v>479</v>
      </c>
      <c r="AK874" s="270">
        <f t="shared" si="388"/>
        <v>-75.159017014518199</v>
      </c>
      <c r="AL874" s="506">
        <f t="shared" si="389"/>
        <v>3.5163967041950517E-2</v>
      </c>
      <c r="AM874" s="77">
        <f t="shared" si="390"/>
        <v>6.4368310365448054E-4</v>
      </c>
      <c r="AN874" s="77">
        <f t="shared" si="391"/>
        <v>9.8573943829544726E-4</v>
      </c>
      <c r="AO874" s="13"/>
      <c r="AP874" s="13"/>
    </row>
    <row r="875" spans="1:42" ht="15.75">
      <c r="A875" s="187"/>
      <c r="B875" s="1587" t="s">
        <v>861</v>
      </c>
      <c r="C875" s="1393" t="s">
        <v>862</v>
      </c>
      <c r="D875" s="804">
        <v>235</v>
      </c>
      <c r="E875" s="804">
        <v>6</v>
      </c>
      <c r="F875" s="251">
        <v>60</v>
      </c>
      <c r="G875" s="1588"/>
      <c r="H875" s="453">
        <v>246</v>
      </c>
      <c r="I875" s="453">
        <f t="shared" si="392"/>
        <v>125.46000000000001</v>
      </c>
      <c r="J875" s="1045"/>
      <c r="K875" s="912">
        <v>271</v>
      </c>
      <c r="L875" s="322">
        <v>222</v>
      </c>
      <c r="M875" s="335">
        <f t="shared" si="370"/>
        <v>0.94468085106382982</v>
      </c>
      <c r="N875" s="382">
        <f t="shared" si="371"/>
        <v>135.5</v>
      </c>
      <c r="O875" s="469"/>
      <c r="P875" s="464">
        <f t="shared" si="373"/>
        <v>8.0025506137414215E-2</v>
      </c>
      <c r="Q875" s="331">
        <v>2.7959999999999998</v>
      </c>
      <c r="R875" s="382">
        <f t="shared" si="374"/>
        <v>131.504268</v>
      </c>
      <c r="S875" s="918"/>
      <c r="T875" s="696">
        <f t="shared" si="376"/>
        <v>-4.8176853180296408E-2</v>
      </c>
      <c r="U875" s="261" t="s">
        <v>1363</v>
      </c>
      <c r="V875" s="262">
        <f t="shared" si="377"/>
        <v>2.7959999999999998</v>
      </c>
      <c r="W875" s="262">
        <f t="shared" si="378"/>
        <v>131.504268</v>
      </c>
      <c r="X875" s="263">
        <f>(ROUND(W875/(1-$AD$867),0))</f>
        <v>143</v>
      </c>
      <c r="Y875" s="262">
        <f t="shared" si="379"/>
        <v>137.69999999999999</v>
      </c>
      <c r="Z875" s="263">
        <f t="shared" si="380"/>
        <v>270</v>
      </c>
      <c r="AA875" s="264">
        <f t="shared" si="381"/>
        <v>8.0389734265734286E-2</v>
      </c>
      <c r="AB875" s="264">
        <f t="shared" si="382"/>
        <v>4.4994422657952018E-2</v>
      </c>
      <c r="AC875" s="768">
        <f t="shared" si="383"/>
        <v>-1.5976761074800172E-2</v>
      </c>
      <c r="AD875" s="266">
        <f t="shared" si="384"/>
        <v>-1.0949169741697511E-2</v>
      </c>
      <c r="AE875" s="261">
        <f t="shared" si="385"/>
        <v>2.8809559245636041</v>
      </c>
      <c r="AF875" s="262">
        <f>(V875/(1-$AD$867))</f>
        <v>3.0391304347826082</v>
      </c>
      <c r="AG875" s="1869">
        <v>5.74</v>
      </c>
      <c r="AH875" s="264">
        <f t="shared" si="386"/>
        <v>7.9999999999999918E-2</v>
      </c>
      <c r="AI875" s="459"/>
      <c r="AJ875" s="460"/>
      <c r="AK875" s="461"/>
      <c r="AL875" s="1249"/>
      <c r="AM875" s="459"/>
      <c r="AN875" s="459"/>
      <c r="AO875" s="13"/>
      <c r="AP875" s="13"/>
    </row>
    <row r="876" spans="1:42" ht="15.75">
      <c r="A876" s="187"/>
      <c r="B876" s="1587" t="s">
        <v>863</v>
      </c>
      <c r="C876" s="1589" t="s">
        <v>864</v>
      </c>
      <c r="D876" s="804">
        <v>320</v>
      </c>
      <c r="E876" s="804">
        <v>6</v>
      </c>
      <c r="F876" s="251">
        <v>60</v>
      </c>
      <c r="G876" s="1588"/>
      <c r="H876" s="453">
        <v>326</v>
      </c>
      <c r="I876" s="453">
        <f t="shared" si="392"/>
        <v>166.26</v>
      </c>
      <c r="J876" s="1045"/>
      <c r="K876" s="912">
        <v>343</v>
      </c>
      <c r="L876" s="322">
        <v>269</v>
      </c>
      <c r="M876" s="335">
        <f t="shared" si="370"/>
        <v>0.84062499999999996</v>
      </c>
      <c r="N876" s="382">
        <f t="shared" si="371"/>
        <v>171.5</v>
      </c>
      <c r="O876" s="469"/>
      <c r="P876" s="464">
        <f t="shared" si="373"/>
        <v>3.1516901239023287E-2</v>
      </c>
      <c r="Q876" s="331">
        <v>3.8075999999999999</v>
      </c>
      <c r="R876" s="382">
        <f t="shared" si="374"/>
        <v>179.08285079999999</v>
      </c>
      <c r="S876" s="918"/>
      <c r="T876" s="696">
        <f t="shared" si="376"/>
        <v>-7.7125290508841565E-2</v>
      </c>
      <c r="U876" s="261" t="s">
        <v>1364</v>
      </c>
      <c r="V876" s="262">
        <f t="shared" si="377"/>
        <v>3.8075999999999999</v>
      </c>
      <c r="W876" s="262">
        <f t="shared" si="378"/>
        <v>179.08285079999999</v>
      </c>
      <c r="X876" s="263">
        <f>(ROUND(W876/(1-$AB$867),0))</f>
        <v>204</v>
      </c>
      <c r="Y876" s="262">
        <f t="shared" si="379"/>
        <v>196.35</v>
      </c>
      <c r="Z876" s="263">
        <f t="shared" si="380"/>
        <v>385</v>
      </c>
      <c r="AA876" s="264">
        <f t="shared" si="381"/>
        <v>0.12214288823529418</v>
      </c>
      <c r="AB876" s="264">
        <f t="shared" si="382"/>
        <v>8.7940663101604311E-2</v>
      </c>
      <c r="AC876" s="1590">
        <f t="shared" si="383"/>
        <v>-0.12655971479500894</v>
      </c>
      <c r="AD876" s="266">
        <f t="shared" si="384"/>
        <v>-8.7723826530612267E-2</v>
      </c>
      <c r="AE876" s="261">
        <f t="shared" si="385"/>
        <v>3.646375948801905</v>
      </c>
      <c r="AF876" s="262">
        <f>(V876/(1-$AB$867))</f>
        <v>4.3268181818181812</v>
      </c>
      <c r="AG876" s="1869">
        <v>8.16</v>
      </c>
      <c r="AH876" s="264">
        <f t="shared" si="386"/>
        <v>0.11999999999999991</v>
      </c>
      <c r="AI876" s="459"/>
      <c r="AJ876" s="460"/>
      <c r="AK876" s="461"/>
      <c r="AL876" s="1249"/>
      <c r="AM876" s="459"/>
      <c r="AN876" s="459"/>
      <c r="AO876" s="13"/>
      <c r="AP876" s="13"/>
    </row>
    <row r="877" spans="1:42" ht="15.75">
      <c r="A877" s="187"/>
      <c r="B877" s="1587" t="s">
        <v>865</v>
      </c>
      <c r="C877" s="1591" t="s">
        <v>866</v>
      </c>
      <c r="D877" s="1592">
        <v>280</v>
      </c>
      <c r="E877" s="804">
        <v>6</v>
      </c>
      <c r="F877" s="442">
        <v>60</v>
      </c>
      <c r="G877" s="1588"/>
      <c r="H877" s="453">
        <v>310</v>
      </c>
      <c r="I877" s="453">
        <f t="shared" si="392"/>
        <v>158.1</v>
      </c>
      <c r="J877" s="1045"/>
      <c r="K877" s="912">
        <v>346</v>
      </c>
      <c r="L877" s="322">
        <v>276</v>
      </c>
      <c r="M877" s="335">
        <f t="shared" si="370"/>
        <v>0.98571428571428577</v>
      </c>
      <c r="N877" s="382">
        <f t="shared" si="371"/>
        <v>173</v>
      </c>
      <c r="O877" s="469"/>
      <c r="P877" s="464">
        <f t="shared" si="373"/>
        <v>9.4244149272612265E-2</v>
      </c>
      <c r="Q877" s="331">
        <v>3.3324000000000003</v>
      </c>
      <c r="R877" s="382">
        <f t="shared" si="374"/>
        <v>156.73276920000001</v>
      </c>
      <c r="S877" s="918"/>
      <c r="T877" s="696">
        <f t="shared" si="376"/>
        <v>8.6478861480075095E-3</v>
      </c>
      <c r="U877" s="261" t="s">
        <v>1365</v>
      </c>
      <c r="V877" s="262">
        <f t="shared" si="377"/>
        <v>3.3324000000000003</v>
      </c>
      <c r="W877" s="262">
        <f t="shared" si="378"/>
        <v>156.73276920000001</v>
      </c>
      <c r="X877" s="263">
        <f>(ROUND(W877/(1-$AB$867),0))</f>
        <v>178</v>
      </c>
      <c r="Y877" s="262">
        <f t="shared" si="379"/>
        <v>171.36</v>
      </c>
      <c r="Z877" s="263">
        <f t="shared" si="380"/>
        <v>336</v>
      </c>
      <c r="AA877" s="264">
        <f t="shared" si="381"/>
        <v>0.11947882471910108</v>
      </c>
      <c r="AB877" s="264">
        <f t="shared" si="382"/>
        <v>8.5359656862745131E-2</v>
      </c>
      <c r="AC877" s="768">
        <f t="shared" si="383"/>
        <v>9.5704948646124777E-3</v>
      </c>
      <c r="AD877" s="266">
        <f t="shared" si="384"/>
        <v>5.628149566473975E-2</v>
      </c>
      <c r="AE877" s="261">
        <f t="shared" si="385"/>
        <v>3.6782684498118341</v>
      </c>
      <c r="AF877" s="262">
        <f>(V877/(1-$AB$867))</f>
        <v>3.7868181818181821</v>
      </c>
      <c r="AG877" s="1869">
        <v>7.15</v>
      </c>
      <c r="AH877" s="264">
        <f t="shared" si="386"/>
        <v>0.12</v>
      </c>
      <c r="AI877" s="459"/>
      <c r="AJ877" s="460"/>
      <c r="AK877" s="461"/>
      <c r="AL877" s="1249"/>
      <c r="AM877" s="459"/>
      <c r="AN877" s="459"/>
      <c r="AO877" s="13"/>
      <c r="AP877" s="13"/>
    </row>
    <row r="878" spans="1:42" ht="16.5" thickBot="1">
      <c r="A878" s="187"/>
      <c r="B878" s="1460" t="s">
        <v>867</v>
      </c>
      <c r="C878" s="1426" t="s">
        <v>1366</v>
      </c>
      <c r="D878" s="790">
        <v>270</v>
      </c>
      <c r="E878" s="790">
        <v>6</v>
      </c>
      <c r="F878" s="276">
        <v>60</v>
      </c>
      <c r="G878" s="1588"/>
      <c r="H878" s="453">
        <v>289</v>
      </c>
      <c r="I878" s="453">
        <f t="shared" si="392"/>
        <v>147.39000000000001</v>
      </c>
      <c r="J878" s="1045"/>
      <c r="K878" s="912">
        <v>369</v>
      </c>
      <c r="L878" s="322">
        <v>273</v>
      </c>
      <c r="M878" s="335">
        <f t="shared" si="370"/>
        <v>1.0111111111111111</v>
      </c>
      <c r="N878" s="382">
        <f t="shared" si="371"/>
        <v>184.5</v>
      </c>
      <c r="O878" s="469"/>
      <c r="P878" s="464">
        <f t="shared" si="373"/>
        <v>0.25178098921229375</v>
      </c>
      <c r="Q878" s="331">
        <v>3.2124000000000001</v>
      </c>
      <c r="R878" s="382">
        <f t="shared" si="374"/>
        <v>151.08880920000001</v>
      </c>
      <c r="S878" s="918"/>
      <c r="T878" s="696">
        <f t="shared" si="376"/>
        <v>-2.5095387746794214E-2</v>
      </c>
      <c r="U878" s="261" t="s">
        <v>1367</v>
      </c>
      <c r="V878" s="262">
        <f t="shared" si="377"/>
        <v>3.2124000000000001</v>
      </c>
      <c r="W878" s="262">
        <f t="shared" si="378"/>
        <v>151.08880920000001</v>
      </c>
      <c r="X878" s="263">
        <f>(ROUND(W878/(1-$AC$867),0))</f>
        <v>184</v>
      </c>
      <c r="Y878" s="262">
        <f t="shared" si="379"/>
        <v>176.97</v>
      </c>
      <c r="Z878" s="263">
        <f t="shared" si="380"/>
        <v>347</v>
      </c>
      <c r="AA878" s="264">
        <f t="shared" si="381"/>
        <v>0.17886516739130426</v>
      </c>
      <c r="AB878" s="264">
        <f t="shared" si="382"/>
        <v>0.14624620444143066</v>
      </c>
      <c r="AC878" s="768">
        <f t="shared" si="383"/>
        <v>4.2549584675368735E-2</v>
      </c>
      <c r="AD878" s="266">
        <f t="shared" si="384"/>
        <v>0.14696923441734411</v>
      </c>
      <c r="AE878" s="261">
        <f t="shared" si="385"/>
        <v>3.9227776242212915</v>
      </c>
      <c r="AF878" s="262">
        <f>(V878/(1-$AC$867))</f>
        <v>3.917560975609756</v>
      </c>
      <c r="AG878" s="1869">
        <v>7.39</v>
      </c>
      <c r="AH878" s="264">
        <f t="shared" si="386"/>
        <v>0.17999999999999994</v>
      </c>
      <c r="AI878" s="459"/>
      <c r="AJ878" s="460"/>
      <c r="AK878" s="461"/>
      <c r="AL878" s="1249"/>
      <c r="AM878" s="459"/>
      <c r="AN878" s="459"/>
      <c r="AO878" s="13"/>
      <c r="AP878" s="13"/>
    </row>
    <row r="879" spans="1:42" ht="16.5" thickBot="1">
      <c r="A879" s="187"/>
      <c r="B879" s="2"/>
      <c r="C879" s="414"/>
      <c r="D879" s="414"/>
      <c r="E879" s="414"/>
      <c r="F879" s="414"/>
      <c r="G879" s="827"/>
      <c r="H879" s="785"/>
      <c r="I879" s="785"/>
      <c r="J879" s="897"/>
      <c r="K879" s="533"/>
      <c r="P879" s="1325"/>
      <c r="Q879" s="1091"/>
      <c r="R879" s="1092"/>
      <c r="S879" s="364"/>
      <c r="T879" s="364"/>
      <c r="U879" s="872"/>
      <c r="V879" s="872"/>
      <c r="W879" s="872"/>
      <c r="X879" s="872"/>
      <c r="Y879" s="872"/>
      <c r="Z879" s="872"/>
      <c r="AA879" s="364"/>
      <c r="AB879" s="364"/>
      <c r="AC879" s="364"/>
      <c r="AD879" s="364">
        <f>AVERAGE(AD869:AD878)</f>
        <v>7.4223611690729024E-2</v>
      </c>
      <c r="AE879" s="872"/>
      <c r="AF879" s="872"/>
      <c r="AG879" s="1882"/>
      <c r="AH879" s="364"/>
      <c r="AI879" s="512">
        <f>S869*AI869+S870*AI870+S871*AI871+S872*AI872+S873*AI873+S874*AI874</f>
        <v>-8.9846156456009449E-2</v>
      </c>
      <c r="AJ879" s="513">
        <f>SUM(AJ869:AJ874)</f>
        <v>24538</v>
      </c>
      <c r="AK879" s="514">
        <f>SUM(AK869:AK874)</f>
        <v>-2137.3873125536061</v>
      </c>
      <c r="AM879" s="307">
        <f>SUM(AM869:AM874)</f>
        <v>3.2974313147126608E-2</v>
      </c>
      <c r="AN879" s="307">
        <f>SUM(AN869:AN874)</f>
        <v>2.8032657325593065E-2</v>
      </c>
      <c r="AO879" s="13"/>
      <c r="AP879" s="13"/>
    </row>
    <row r="880" spans="1:42">
      <c r="A880" s="149" t="s">
        <v>22</v>
      </c>
      <c r="B880" s="2"/>
      <c r="C880" s="157" t="s">
        <v>23</v>
      </c>
      <c r="J880" s="532"/>
      <c r="K880" s="533"/>
      <c r="AO880" s="13"/>
      <c r="AP880" s="13"/>
    </row>
    <row r="881" spans="1:42" ht="15.75" thickBot="1">
      <c r="A881" s="187"/>
      <c r="B881" s="157"/>
      <c r="C881" s="148" t="s">
        <v>9</v>
      </c>
      <c r="F881" s="158" t="s">
        <v>1077</v>
      </c>
      <c r="G881" s="158"/>
      <c r="H881" s="159"/>
      <c r="I881" s="160"/>
      <c r="J881" s="541"/>
      <c r="K881" s="2309" t="s">
        <v>1368</v>
      </c>
      <c r="L881" s="2309"/>
      <c r="M881" s="2309"/>
      <c r="N881" s="2309"/>
      <c r="O881" s="2309"/>
      <c r="P881" s="1852"/>
      <c r="T881" s="1851"/>
      <c r="U881" s="309"/>
      <c r="V881" s="309"/>
      <c r="W881" s="309"/>
      <c r="X881" s="309"/>
      <c r="Y881" s="309"/>
      <c r="Z881" s="309"/>
      <c r="AA881" s="346">
        <v>0.22</v>
      </c>
      <c r="AB881" s="628">
        <v>0.16</v>
      </c>
      <c r="AC881" s="628"/>
      <c r="AD881" s="1851"/>
      <c r="AE881" s="188"/>
      <c r="AF881" s="188"/>
      <c r="AG881" s="1866"/>
      <c r="AH881" s="1851"/>
      <c r="AO881" s="13"/>
      <c r="AP881" s="13"/>
    </row>
    <row r="882" spans="1:42" ht="60.75" thickBot="1">
      <c r="A882" s="187"/>
      <c r="B882" s="369" t="s">
        <v>10</v>
      </c>
      <c r="C882" s="1334" t="s">
        <v>11</v>
      </c>
      <c r="D882" s="370" t="s">
        <v>12</v>
      </c>
      <c r="E882" s="370" t="s">
        <v>13</v>
      </c>
      <c r="F882" s="370" t="s">
        <v>14</v>
      </c>
      <c r="G882" s="371" t="s">
        <v>15</v>
      </c>
      <c r="H882" s="372" t="s">
        <v>1090</v>
      </c>
      <c r="I882" s="372">
        <f>$C$20</f>
        <v>0.49</v>
      </c>
      <c r="J882" s="684">
        <f>$C$20</f>
        <v>0.49</v>
      </c>
      <c r="K882" s="548" t="s">
        <v>15</v>
      </c>
      <c r="L882" s="423" t="s">
        <v>12</v>
      </c>
      <c r="M882" s="196" t="s">
        <v>1091</v>
      </c>
      <c r="N882" s="549" t="s">
        <v>993</v>
      </c>
      <c r="O882" s="424" t="s">
        <v>1092</v>
      </c>
      <c r="P882" s="772" t="s">
        <v>1092</v>
      </c>
      <c r="Q882" s="200" t="s">
        <v>1093</v>
      </c>
      <c r="R882" s="201" t="s">
        <v>1094</v>
      </c>
      <c r="S882" s="350" t="s">
        <v>1095</v>
      </c>
      <c r="T882" s="203" t="s">
        <v>1095</v>
      </c>
      <c r="U882" s="204" t="s">
        <v>1096</v>
      </c>
      <c r="V882" s="205" t="s">
        <v>1093</v>
      </c>
      <c r="W882" s="206" t="s">
        <v>1094</v>
      </c>
      <c r="X882" s="207" t="s">
        <v>1097</v>
      </c>
      <c r="Y882" s="208">
        <f>$X$33</f>
        <v>0.49</v>
      </c>
      <c r="Z882" s="207" t="s">
        <v>1098</v>
      </c>
      <c r="AA882" s="209" t="s">
        <v>1099</v>
      </c>
      <c r="AB882" s="209" t="s">
        <v>1100</v>
      </c>
      <c r="AC882" s="210" t="s">
        <v>1092</v>
      </c>
      <c r="AD882" s="211" t="s">
        <v>1101</v>
      </c>
      <c r="AE882" s="212" t="s">
        <v>1102</v>
      </c>
      <c r="AF882" s="208" t="s">
        <v>1103</v>
      </c>
      <c r="AG882" s="1867" t="s">
        <v>1104</v>
      </c>
      <c r="AH882" s="213" t="s">
        <v>1105</v>
      </c>
      <c r="AI882" s="220" t="s">
        <v>1106</v>
      </c>
      <c r="AJ882" s="483" t="s">
        <v>1107</v>
      </c>
      <c r="AK882" s="484" t="s">
        <v>1108</v>
      </c>
      <c r="AL882" s="221" t="s">
        <v>1109</v>
      </c>
      <c r="AM882" s="221" t="s">
        <v>1175</v>
      </c>
      <c r="AN882" s="221" t="s">
        <v>1176</v>
      </c>
      <c r="AO882" s="13"/>
      <c r="AP882" s="13"/>
    </row>
    <row r="883" spans="1:42" ht="15.75">
      <c r="A883" s="187"/>
      <c r="B883" s="1534" t="s">
        <v>220</v>
      </c>
      <c r="C883" s="1593" t="s">
        <v>190</v>
      </c>
      <c r="D883" s="1594">
        <v>64</v>
      </c>
      <c r="E883" s="1594">
        <v>10</v>
      </c>
      <c r="F883" s="1594">
        <v>280</v>
      </c>
      <c r="G883" s="1520">
        <v>61</v>
      </c>
      <c r="H883" s="504">
        <f t="shared" ref="H883:H888" si="393">G883*(1+$H$33)</f>
        <v>65.27000000000001</v>
      </c>
      <c r="I883" s="504">
        <f t="shared" ref="I883:I888" si="394">H883-H883*$J$833</f>
        <v>33.287700000000001</v>
      </c>
      <c r="J883" s="1514">
        <f t="shared" ref="J883:J888" si="395">G883-G883*$J$833</f>
        <v>31.11</v>
      </c>
      <c r="K883" s="1595">
        <v>87</v>
      </c>
      <c r="L883" s="1596">
        <v>76</v>
      </c>
      <c r="M883" s="1597">
        <f t="shared" ref="M883:M888" si="396">L883/D883*100%</f>
        <v>1.1875</v>
      </c>
      <c r="N883" s="650">
        <f t="shared" ref="N883:N888" si="397">K883-(K883*$O$33)</f>
        <v>43.5</v>
      </c>
      <c r="O883" s="1598">
        <f t="shared" ref="O883:O888" si="398">((N883/J883)-1)*100%</f>
        <v>0.39826422372227577</v>
      </c>
      <c r="P883" s="1599">
        <f t="shared" ref="P883:P888" si="399">((N883/I883)-1)*100%</f>
        <v>0.30678899413296801</v>
      </c>
      <c r="Q883" s="1600">
        <v>0.74</v>
      </c>
      <c r="R883" s="561">
        <f t="shared" ref="R883:R888" si="400">Q883*$R$33</f>
        <v>34.80442</v>
      </c>
      <c r="S883" s="562">
        <f t="shared" ref="S883:S888" si="401">((J883-R883)/J883)*100%</f>
        <v>-0.11875345548055291</v>
      </c>
      <c r="T883" s="237">
        <f t="shared" ref="T883:T888" si="402">((I883-R883)/I883)*100%</f>
        <v>-4.5563977084628837E-2</v>
      </c>
      <c r="U883" s="238">
        <v>0.61660999999999999</v>
      </c>
      <c r="V883" s="239">
        <f t="shared" ref="V883:V888" si="403">U883*$X$31</f>
        <v>0.73993199999999992</v>
      </c>
      <c r="W883" s="239">
        <f t="shared" ref="W883:W888" si="404">V883*$R$33</f>
        <v>34.801221755999997</v>
      </c>
      <c r="X883" s="240">
        <f>(ROUND(W883/(1-$AA$881),0))</f>
        <v>45</v>
      </c>
      <c r="Y883" s="239">
        <f t="shared" ref="Y883:Y888" si="405">Z883*(1-$X$33)</f>
        <v>43.35</v>
      </c>
      <c r="Z883" s="240">
        <f t="shared" ref="Z883:Z888" si="406">ROUND(X883/(1-$X$828),0)</f>
        <v>85</v>
      </c>
      <c r="AA883" s="241">
        <f t="shared" ref="AA883:AA888" si="407">((X883-W883)/X883)*100%</f>
        <v>0.22663951653333342</v>
      </c>
      <c r="AB883" s="241">
        <f t="shared" ref="AB883:AB888" si="408">((Y883-W883)/Y883)*100%</f>
        <v>0.19720365038062293</v>
      </c>
      <c r="AC883" s="242">
        <f t="shared" ref="AC883:AC888" si="409">((N883/Y883)-1)*100%</f>
        <v>3.4602076124568004E-3</v>
      </c>
      <c r="AD883" s="243">
        <f t="shared" ref="AD883:AD888" si="410">((N883*0.96-W883)/(N883*0.96))*100%</f>
        <v>0.16663741005747129</v>
      </c>
      <c r="AE883" s="238">
        <f t="shared" ref="AE883:AE888" si="411">N883/$R$33</f>
        <v>0.92488252928794679</v>
      </c>
      <c r="AF883" s="239">
        <f>(V883/(1-$AA$881))</f>
        <v>0.94863076923076906</v>
      </c>
      <c r="AG883" s="1868">
        <f>AF883/(1-$X$828)</f>
        <v>1.7898693759071114</v>
      </c>
      <c r="AH883" s="244">
        <f t="shared" ref="AH883:AH888" si="412">((AF883-V883)/AF883)*100%</f>
        <v>0.21999999999999995</v>
      </c>
      <c r="AI883" s="1372">
        <f t="shared" ref="AI883:AI888" si="413">AJ883/$AJ$889</f>
        <v>0.53197893152746423</v>
      </c>
      <c r="AJ883" s="338">
        <f>[1]Статистика!D290</f>
        <v>9898</v>
      </c>
      <c r="AK883" s="297">
        <f t="shared" ref="AK883:AK888" si="414">Q883*S883*AJ883</f>
        <v>-869.81205973641943</v>
      </c>
      <c r="AL883" s="866">
        <f t="shared" ref="AL883:AL888" si="415">AK883/$AK$889</f>
        <v>0.21295740388309364</v>
      </c>
      <c r="AM883" s="92">
        <f t="shared" ref="AM883:AM888" si="416">AJ883/$AJ$1101</f>
        <v>1.330099240077672E-2</v>
      </c>
      <c r="AN883" s="92">
        <f t="shared" ref="AN883:AN888" si="417">AK883/$AK$1101</f>
        <v>1.1407919970820822E-2</v>
      </c>
      <c r="AO883" s="13"/>
      <c r="AP883" s="13"/>
    </row>
    <row r="884" spans="1:42" ht="15.75">
      <c r="A884" s="271"/>
      <c r="B884" s="1534" t="s">
        <v>221</v>
      </c>
      <c r="C884" s="1566" t="s">
        <v>192</v>
      </c>
      <c r="D884" s="926">
        <v>108</v>
      </c>
      <c r="E884" s="926">
        <v>10</v>
      </c>
      <c r="F884" s="926">
        <v>140</v>
      </c>
      <c r="G884" s="433">
        <v>91</v>
      </c>
      <c r="H884" s="504">
        <f t="shared" si="393"/>
        <v>97.37</v>
      </c>
      <c r="I884" s="504">
        <f t="shared" si="394"/>
        <v>49.658700000000003</v>
      </c>
      <c r="J884" s="1514">
        <f t="shared" si="395"/>
        <v>46.410000000000004</v>
      </c>
      <c r="K884" s="1007">
        <v>150</v>
      </c>
      <c r="L884" s="929">
        <v>134</v>
      </c>
      <c r="M884" s="1008">
        <f t="shared" si="396"/>
        <v>1.2407407407407407</v>
      </c>
      <c r="N884" s="650">
        <f t="shared" si="397"/>
        <v>75</v>
      </c>
      <c r="O884" s="932">
        <f t="shared" si="398"/>
        <v>0.61603102779573349</v>
      </c>
      <c r="P884" s="1601">
        <f t="shared" si="399"/>
        <v>0.51030937177171354</v>
      </c>
      <c r="Q884" s="1570">
        <v>1.2001312335958005</v>
      </c>
      <c r="R884" s="650">
        <f t="shared" si="400"/>
        <v>56.445772309711288</v>
      </c>
      <c r="S884" s="1519">
        <f t="shared" si="401"/>
        <v>-0.21624159253848918</v>
      </c>
      <c r="T884" s="260">
        <f t="shared" si="402"/>
        <v>-0.13667438554998992</v>
      </c>
      <c r="U884" s="261">
        <v>0.97317999999999993</v>
      </c>
      <c r="V884" s="239">
        <f t="shared" si="403"/>
        <v>1.167816</v>
      </c>
      <c r="W884" s="262">
        <f t="shared" si="404"/>
        <v>54.925889927999997</v>
      </c>
      <c r="X884" s="240">
        <f>(ROUND(W884/(1-$AA$881),0))</f>
        <v>70</v>
      </c>
      <c r="Y884" s="239">
        <f t="shared" si="405"/>
        <v>67.320000000000007</v>
      </c>
      <c r="Z884" s="240">
        <f t="shared" si="406"/>
        <v>132</v>
      </c>
      <c r="AA884" s="264">
        <f t="shared" si="407"/>
        <v>0.21534442960000005</v>
      </c>
      <c r="AB884" s="241">
        <f t="shared" si="408"/>
        <v>0.18410739857397518</v>
      </c>
      <c r="AC884" s="242">
        <f t="shared" si="409"/>
        <v>0.11408199643493755</v>
      </c>
      <c r="AD884" s="266">
        <f t="shared" si="410"/>
        <v>0.23714041766666671</v>
      </c>
      <c r="AE884" s="261">
        <f t="shared" si="411"/>
        <v>1.5946250504964599</v>
      </c>
      <c r="AF884" s="239">
        <f>(V884/(1-$AA$881))</f>
        <v>1.4971999999999999</v>
      </c>
      <c r="AG884" s="1868">
        <v>2.83</v>
      </c>
      <c r="AH884" s="267">
        <f t="shared" si="412"/>
        <v>0.21999999999999995</v>
      </c>
      <c r="AI884" s="1374">
        <f t="shared" si="413"/>
        <v>0.28437063312909816</v>
      </c>
      <c r="AJ884" s="333">
        <f>[1]Статистика!D291</f>
        <v>5291</v>
      </c>
      <c r="AK884" s="270">
        <f t="shared" si="414"/>
        <v>-1373.1112681991972</v>
      </c>
      <c r="AL884" s="506">
        <f t="shared" si="415"/>
        <v>0.33618091131885902</v>
      </c>
      <c r="AM884" s="77">
        <f t="shared" si="416"/>
        <v>7.1100778735612878E-3</v>
      </c>
      <c r="AN884" s="77">
        <f t="shared" si="417"/>
        <v>1.8008882819347802E-2</v>
      </c>
      <c r="AO884" s="13"/>
      <c r="AP884" s="13"/>
    </row>
    <row r="885" spans="1:42" ht="15.75">
      <c r="A885" s="187"/>
      <c r="B885" s="1602" t="s">
        <v>222</v>
      </c>
      <c r="C885" s="926" t="s">
        <v>194</v>
      </c>
      <c r="D885" s="926">
        <v>174</v>
      </c>
      <c r="E885" s="926">
        <v>8</v>
      </c>
      <c r="F885" s="926">
        <v>80</v>
      </c>
      <c r="G885" s="433">
        <v>153</v>
      </c>
      <c r="H885" s="504">
        <f t="shared" si="393"/>
        <v>163.71</v>
      </c>
      <c r="I885" s="504">
        <f t="shared" si="394"/>
        <v>83.492100000000008</v>
      </c>
      <c r="J885" s="1514">
        <f t="shared" si="395"/>
        <v>78.03</v>
      </c>
      <c r="K885" s="1007">
        <v>256</v>
      </c>
      <c r="L885" s="929">
        <v>222</v>
      </c>
      <c r="M885" s="1008">
        <f t="shared" si="396"/>
        <v>1.2758620689655173</v>
      </c>
      <c r="N885" s="650">
        <f t="shared" si="397"/>
        <v>128</v>
      </c>
      <c r="O885" s="932">
        <f t="shared" si="398"/>
        <v>0.64039471997949504</v>
      </c>
      <c r="P885" s="1601">
        <f t="shared" si="399"/>
        <v>0.53307917755092982</v>
      </c>
      <c r="Q885" s="1573">
        <v>2.0149842271293377</v>
      </c>
      <c r="R885" s="650">
        <f t="shared" si="400"/>
        <v>94.770753154574138</v>
      </c>
      <c r="S885" s="1519">
        <f t="shared" si="401"/>
        <v>-0.21454252408783975</v>
      </c>
      <c r="T885" s="260">
        <f t="shared" si="402"/>
        <v>-0.13508647111013053</v>
      </c>
      <c r="U885" s="261">
        <v>1.5917600000000001</v>
      </c>
      <c r="V885" s="239">
        <f t="shared" si="403"/>
        <v>1.910112</v>
      </c>
      <c r="W885" s="262">
        <f t="shared" si="404"/>
        <v>89.838297695999998</v>
      </c>
      <c r="X885" s="240">
        <f>(ROUND(W885/(1-$AA$881),0))</f>
        <v>115</v>
      </c>
      <c r="Y885" s="239">
        <f t="shared" si="405"/>
        <v>110.67</v>
      </c>
      <c r="Z885" s="240">
        <f t="shared" si="406"/>
        <v>217</v>
      </c>
      <c r="AA885" s="264">
        <f t="shared" si="407"/>
        <v>0.21879741133913044</v>
      </c>
      <c r="AB885" s="241">
        <f t="shared" si="408"/>
        <v>0.18823260417457308</v>
      </c>
      <c r="AC885" s="242">
        <f t="shared" si="409"/>
        <v>0.15659166892563481</v>
      </c>
      <c r="AD885" s="266">
        <f t="shared" si="410"/>
        <v>0.26889406171874997</v>
      </c>
      <c r="AE885" s="261">
        <f t="shared" si="411"/>
        <v>2.7214934195139584</v>
      </c>
      <c r="AF885" s="239">
        <f>(V885/(1-$AA$881))</f>
        <v>2.4488615384615384</v>
      </c>
      <c r="AG885" s="1868">
        <f>AF885/(1-$X$828)</f>
        <v>4.6204934687953552</v>
      </c>
      <c r="AH885" s="267">
        <f t="shared" si="412"/>
        <v>0.21999999999999997</v>
      </c>
      <c r="AI885" s="1374">
        <f t="shared" si="413"/>
        <v>0.1236160378372568</v>
      </c>
      <c r="AJ885" s="333">
        <f>[1]Статистика!D292</f>
        <v>2300</v>
      </c>
      <c r="AK885" s="270">
        <f t="shared" si="414"/>
        <v>-994.28954479668016</v>
      </c>
      <c r="AL885" s="506">
        <f t="shared" si="415"/>
        <v>0.24343341506689187</v>
      </c>
      <c r="AM885" s="77">
        <f t="shared" si="416"/>
        <v>3.090753942391034E-3</v>
      </c>
      <c r="AN885" s="77">
        <f t="shared" si="417"/>
        <v>1.3040490101162327E-2</v>
      </c>
      <c r="AO885" s="13"/>
      <c r="AP885" s="13"/>
    </row>
    <row r="886" spans="1:42" ht="15.75">
      <c r="A886" s="187"/>
      <c r="B886" s="356" t="s">
        <v>223</v>
      </c>
      <c r="C886" s="251" t="s">
        <v>209</v>
      </c>
      <c r="D886" s="251">
        <v>365</v>
      </c>
      <c r="E886" s="251">
        <v>5</v>
      </c>
      <c r="F886" s="251">
        <v>50</v>
      </c>
      <c r="G886" s="433">
        <v>328</v>
      </c>
      <c r="H886" s="504">
        <f t="shared" si="393"/>
        <v>350.96000000000004</v>
      </c>
      <c r="I886" s="504">
        <f t="shared" si="394"/>
        <v>178.98960000000002</v>
      </c>
      <c r="J886" s="1272">
        <f t="shared" si="395"/>
        <v>167.28</v>
      </c>
      <c r="K886" s="912">
        <v>534</v>
      </c>
      <c r="L886" s="322">
        <v>450</v>
      </c>
      <c r="M886" s="335">
        <f t="shared" si="396"/>
        <v>1.2328767123287672</v>
      </c>
      <c r="N886" s="258">
        <f t="shared" si="397"/>
        <v>267</v>
      </c>
      <c r="O886" s="329">
        <f t="shared" si="398"/>
        <v>0.59612625538020092</v>
      </c>
      <c r="P886" s="1601">
        <f t="shared" si="399"/>
        <v>0.49170678072915952</v>
      </c>
      <c r="Q886" s="257">
        <v>4.1551515151515153</v>
      </c>
      <c r="R886" s="258">
        <f t="shared" si="400"/>
        <v>195.42924121212121</v>
      </c>
      <c r="S886" s="259">
        <f t="shared" si="401"/>
        <v>-0.16827619089025114</v>
      </c>
      <c r="T886" s="260">
        <f t="shared" si="402"/>
        <v>-9.1846907374066353E-2</v>
      </c>
      <c r="U886" s="261">
        <v>3.4415900000000001</v>
      </c>
      <c r="V886" s="239">
        <f t="shared" si="403"/>
        <v>4.1299080000000004</v>
      </c>
      <c r="W886" s="262">
        <f t="shared" si="404"/>
        <v>194.24196296400001</v>
      </c>
      <c r="X886" s="240">
        <f>(ROUND(W886/(1-$AA$881),0))</f>
        <v>249</v>
      </c>
      <c r="Y886" s="239">
        <f t="shared" si="405"/>
        <v>239.70000000000002</v>
      </c>
      <c r="Z886" s="240">
        <f t="shared" si="406"/>
        <v>470</v>
      </c>
      <c r="AA886" s="264">
        <f t="shared" si="407"/>
        <v>0.21991179532530117</v>
      </c>
      <c r="AB886" s="241">
        <f t="shared" si="408"/>
        <v>0.18964554458072594</v>
      </c>
      <c r="AC886" s="242">
        <f t="shared" si="409"/>
        <v>0.11389236545682091</v>
      </c>
      <c r="AD886" s="266">
        <f t="shared" si="410"/>
        <v>0.24218959517790256</v>
      </c>
      <c r="AE886" s="261">
        <f t="shared" si="411"/>
        <v>5.6768651797673968</v>
      </c>
      <c r="AF886" s="239">
        <f>(V886/(1-$AA$881))</f>
        <v>5.2947538461538466</v>
      </c>
      <c r="AG886" s="1868">
        <f>AF886/(1-$X$828)</f>
        <v>9.9901015965166913</v>
      </c>
      <c r="AH886" s="267">
        <f t="shared" si="412"/>
        <v>0.22</v>
      </c>
      <c r="AI886" s="1374">
        <f t="shared" si="413"/>
        <v>3.3645060733096852E-2</v>
      </c>
      <c r="AJ886" s="333">
        <f>[1]Статистика!D293</f>
        <v>626</v>
      </c>
      <c r="AK886" s="270">
        <f t="shared" si="414"/>
        <v>-437.70738153301193</v>
      </c>
      <c r="AL886" s="506">
        <f t="shared" si="415"/>
        <v>0.10716456111218264</v>
      </c>
      <c r="AM886" s="77">
        <f t="shared" si="416"/>
        <v>8.412225947551249E-4</v>
      </c>
      <c r="AN886" s="77">
        <f t="shared" si="417"/>
        <v>5.7407007907883841E-3</v>
      </c>
      <c r="AO886" s="13"/>
      <c r="AP886" s="13"/>
    </row>
    <row r="887" spans="1:42" ht="15.75">
      <c r="A887" s="187"/>
      <c r="B887" s="1602" t="s">
        <v>1369</v>
      </c>
      <c r="C887" s="926" t="s">
        <v>1350</v>
      </c>
      <c r="D887" s="926">
        <v>480</v>
      </c>
      <c r="E887" s="926">
        <v>5</v>
      </c>
      <c r="F887" s="926">
        <v>25</v>
      </c>
      <c r="G887" s="433">
        <v>465</v>
      </c>
      <c r="H887" s="504">
        <f t="shared" si="393"/>
        <v>497.55</v>
      </c>
      <c r="I887" s="504">
        <f t="shared" si="394"/>
        <v>253.75050000000002</v>
      </c>
      <c r="J887" s="1514">
        <f t="shared" si="395"/>
        <v>237.15</v>
      </c>
      <c r="K887" s="1007">
        <v>616</v>
      </c>
      <c r="L887" s="929">
        <v>478</v>
      </c>
      <c r="M887" s="495">
        <f t="shared" si="396"/>
        <v>0.99583333333333335</v>
      </c>
      <c r="N887" s="650">
        <f t="shared" si="397"/>
        <v>308</v>
      </c>
      <c r="O887" s="932">
        <f t="shared" si="398"/>
        <v>0.2987560615644107</v>
      </c>
      <c r="P887" s="1601">
        <f t="shared" si="399"/>
        <v>0.2137907117424398</v>
      </c>
      <c r="Q887" s="1570">
        <v>5.65</v>
      </c>
      <c r="R887" s="650">
        <f t="shared" si="400"/>
        <v>265.73645000000005</v>
      </c>
      <c r="S887" s="933">
        <f t="shared" si="401"/>
        <v>-0.12054164031203897</v>
      </c>
      <c r="T887" s="260">
        <f t="shared" si="402"/>
        <v>-4.7235177861718616E-2</v>
      </c>
      <c r="U887" s="261">
        <f>Q887/1.2</f>
        <v>4.7083333333333339</v>
      </c>
      <c r="V887" s="239">
        <f t="shared" si="403"/>
        <v>5.65</v>
      </c>
      <c r="W887" s="262">
        <f t="shared" si="404"/>
        <v>265.73645000000005</v>
      </c>
      <c r="X887" s="240">
        <f>(ROUND(W887/(1-$AB$881),0))</f>
        <v>316</v>
      </c>
      <c r="Y887" s="239">
        <f t="shared" si="405"/>
        <v>303.95999999999998</v>
      </c>
      <c r="Z887" s="240">
        <f t="shared" si="406"/>
        <v>596</v>
      </c>
      <c r="AA887" s="264">
        <f t="shared" si="407"/>
        <v>0.15906186708860745</v>
      </c>
      <c r="AB887" s="241">
        <f t="shared" si="408"/>
        <v>0.12575190814580844</v>
      </c>
      <c r="AC887" s="242">
        <f t="shared" si="409"/>
        <v>1.3291222529280278E-2</v>
      </c>
      <c r="AD887" s="266">
        <f t="shared" si="410"/>
        <v>0.10127012310606047</v>
      </c>
      <c r="AE887" s="261">
        <f t="shared" si="411"/>
        <v>6.5485935407054621</v>
      </c>
      <c r="AF887" s="239">
        <f>(V887/(1-$AB$881))</f>
        <v>6.7261904761904772</v>
      </c>
      <c r="AG887" s="1868">
        <v>12.69</v>
      </c>
      <c r="AH887" s="267">
        <f t="shared" si="412"/>
        <v>0.16000000000000006</v>
      </c>
      <c r="AI887" s="1374">
        <f t="shared" si="413"/>
        <v>1.7306245297215951E-2</v>
      </c>
      <c r="AJ887" s="333">
        <f>[1]Статистика!D294</f>
        <v>322</v>
      </c>
      <c r="AK887" s="270">
        <f t="shared" si="414"/>
        <v>-219.3014062196925</v>
      </c>
      <c r="AL887" s="506">
        <f t="shared" si="415"/>
        <v>5.3691895408543286E-2</v>
      </c>
      <c r="AM887" s="77">
        <f t="shared" si="416"/>
        <v>4.3270555193474479E-4</v>
      </c>
      <c r="AN887" s="77">
        <f t="shared" si="417"/>
        <v>2.8762223558970153E-3</v>
      </c>
      <c r="AO887" s="13"/>
      <c r="AP887" s="13"/>
    </row>
    <row r="888" spans="1:42" ht="16.5" thickBot="1">
      <c r="A888" s="187"/>
      <c r="B888" s="1603" t="s">
        <v>1370</v>
      </c>
      <c r="C888" s="403" t="s">
        <v>1352</v>
      </c>
      <c r="D888" s="403">
        <v>880</v>
      </c>
      <c r="E888" s="403">
        <v>5</v>
      </c>
      <c r="F888" s="403">
        <v>15</v>
      </c>
      <c r="G888" s="916">
        <v>814</v>
      </c>
      <c r="H888" s="711">
        <f t="shared" si="393"/>
        <v>870.98</v>
      </c>
      <c r="I888" s="711">
        <f t="shared" si="394"/>
        <v>444.19980000000004</v>
      </c>
      <c r="J888" s="1514">
        <f t="shared" si="395"/>
        <v>415.14</v>
      </c>
      <c r="K888" s="1014">
        <v>1059</v>
      </c>
      <c r="L888" s="406">
        <v>876</v>
      </c>
      <c r="M888" s="1015">
        <f t="shared" si="396"/>
        <v>0.99545454545454548</v>
      </c>
      <c r="N888" s="650">
        <f t="shared" si="397"/>
        <v>529.5</v>
      </c>
      <c r="O888" s="409">
        <f t="shared" si="398"/>
        <v>0.27547333429686383</v>
      </c>
      <c r="P888" s="1604">
        <f t="shared" si="399"/>
        <v>0.19203115354847067</v>
      </c>
      <c r="Q888" s="1605">
        <v>9.8365601965601961</v>
      </c>
      <c r="R888" s="493">
        <f t="shared" si="400"/>
        <v>462.64293572481574</v>
      </c>
      <c r="S888" s="1606">
        <f t="shared" si="401"/>
        <v>-0.11442630371637462</v>
      </c>
      <c r="T888" s="287">
        <f t="shared" si="402"/>
        <v>-4.1519910015303252E-2</v>
      </c>
      <c r="U888" s="261">
        <f>Q888/1.2</f>
        <v>8.1971334971334979</v>
      </c>
      <c r="V888" s="239">
        <f t="shared" si="403"/>
        <v>9.8365601965601979</v>
      </c>
      <c r="W888" s="289">
        <f t="shared" si="404"/>
        <v>462.6429357248158</v>
      </c>
      <c r="X888" s="240">
        <f>(ROUND(W888/(1-$AB$881),0))</f>
        <v>551</v>
      </c>
      <c r="Y888" s="291">
        <f t="shared" si="405"/>
        <v>530.4</v>
      </c>
      <c r="Z888" s="240">
        <f t="shared" si="406"/>
        <v>1040</v>
      </c>
      <c r="AA888" s="292">
        <f t="shared" si="407"/>
        <v>0.16035764841231254</v>
      </c>
      <c r="AB888" s="241">
        <f t="shared" si="408"/>
        <v>0.12774710459122207</v>
      </c>
      <c r="AC888" s="345">
        <f t="shared" si="409"/>
        <v>-1.6968325791855143E-3</v>
      </c>
      <c r="AD888" s="294">
        <f t="shared" si="410"/>
        <v>8.9858876839754867E-2</v>
      </c>
      <c r="AE888" s="288">
        <f t="shared" si="411"/>
        <v>11.258052856505007</v>
      </c>
      <c r="AF888" s="239">
        <f>(V888/(1-$AB$881))</f>
        <v>11.710190710190712</v>
      </c>
      <c r="AG888" s="1868">
        <v>22.1</v>
      </c>
      <c r="AH888" s="295">
        <f t="shared" si="412"/>
        <v>0.16000000000000003</v>
      </c>
      <c r="AI888" s="1374">
        <f t="shared" si="413"/>
        <v>9.0830914758679993E-3</v>
      </c>
      <c r="AJ888" s="333">
        <f>[1]Статистика!D295</f>
        <v>169</v>
      </c>
      <c r="AK888" s="270">
        <f t="shared" si="414"/>
        <v>-190.21984695334379</v>
      </c>
      <c r="AL888" s="506">
        <f t="shared" si="415"/>
        <v>4.6571813210429525E-2</v>
      </c>
      <c r="AM888" s="77">
        <f t="shared" si="416"/>
        <v>2.2710322446264556E-4</v>
      </c>
      <c r="AN888" s="77">
        <f t="shared" si="417"/>
        <v>2.4948065120678066E-3</v>
      </c>
      <c r="AO888" s="13"/>
      <c r="AP888" s="13"/>
    </row>
    <row r="889" spans="1:42" ht="19.5" thickBot="1">
      <c r="A889" s="149" t="s">
        <v>24</v>
      </c>
      <c r="C889" s="157" t="s">
        <v>23</v>
      </c>
      <c r="J889" s="532"/>
      <c r="K889" s="533"/>
      <c r="P889" s="1607"/>
      <c r="Q889" s="1091"/>
      <c r="R889" s="1092"/>
      <c r="S889" s="364"/>
      <c r="T889" s="364"/>
      <c r="U889" s="872"/>
      <c r="V889" s="872"/>
      <c r="W889" s="872"/>
      <c r="X889" s="872"/>
      <c r="Y889" s="872"/>
      <c r="Z889" s="872"/>
      <c r="AA889" s="364"/>
      <c r="AB889" s="364"/>
      <c r="AC889" s="364"/>
      <c r="AD889" s="364">
        <f>AVERAGE(AD883:AD888)</f>
        <v>0.18433174742776762</v>
      </c>
      <c r="AE889" s="872"/>
      <c r="AF889" s="872"/>
      <c r="AG889" s="1882"/>
      <c r="AH889" s="364"/>
      <c r="AI889" s="512">
        <f>S883*AI883+S884*AI884+S885*AI885+S886*AI886+S887*AI887+S888*AI888</f>
        <v>-0.15997512215820336</v>
      </c>
      <c r="AJ889" s="513">
        <f>SUM(AJ883:AJ888)</f>
        <v>18606</v>
      </c>
      <c r="AK889" s="514">
        <f>SUM(AK883:AK888)</f>
        <v>-4084.4415074383451</v>
      </c>
      <c r="AM889" s="307">
        <f>SUM(AM883:AM888)</f>
        <v>2.500285558788156E-2</v>
      </c>
      <c r="AN889" s="307">
        <f>SUM(AN883:AN888)</f>
        <v>5.3569022550084153E-2</v>
      </c>
      <c r="AO889" s="13"/>
      <c r="AP889" s="13"/>
    </row>
    <row r="890" spans="1:42" ht="15.75" thickBot="1">
      <c r="A890" s="187"/>
      <c r="B890" s="157"/>
      <c r="C890" s="148" t="s">
        <v>25</v>
      </c>
      <c r="J890" s="532"/>
      <c r="K890" s="2309" t="s">
        <v>1371</v>
      </c>
      <c r="L890" s="2309"/>
      <c r="M890" s="2309"/>
      <c r="N890" s="2309"/>
      <c r="O890" s="2309"/>
      <c r="P890" s="1852"/>
      <c r="T890" s="1851"/>
      <c r="U890" s="309"/>
      <c r="V890" s="309"/>
      <c r="W890" s="309"/>
      <c r="X890" s="309"/>
      <c r="Y890" s="309"/>
      <c r="Z890" s="309"/>
      <c r="AA890" s="346">
        <v>0.15</v>
      </c>
      <c r="AB890" s="628">
        <v>0.14000000000000001</v>
      </c>
      <c r="AC890" s="628">
        <v>0.12</v>
      </c>
      <c r="AD890" s="1851"/>
      <c r="AE890" s="188"/>
      <c r="AF890" s="188"/>
      <c r="AG890" s="1866"/>
      <c r="AH890" s="1851"/>
      <c r="AO890" s="13"/>
      <c r="AP890" s="13"/>
    </row>
    <row r="891" spans="1:42" ht="60.75" thickBot="1">
      <c r="A891" s="187"/>
      <c r="B891" s="369" t="s">
        <v>10</v>
      </c>
      <c r="C891" s="1334" t="s">
        <v>11</v>
      </c>
      <c r="D891" s="370" t="s">
        <v>12</v>
      </c>
      <c r="E891" s="370" t="s">
        <v>13</v>
      </c>
      <c r="F891" s="370" t="s">
        <v>14</v>
      </c>
      <c r="G891" s="371" t="s">
        <v>15</v>
      </c>
      <c r="H891" s="372" t="s">
        <v>1090</v>
      </c>
      <c r="I891" s="372">
        <f>$C$20</f>
        <v>0.49</v>
      </c>
      <c r="J891" s="684">
        <f>$C$20</f>
        <v>0.49</v>
      </c>
      <c r="K891" s="548" t="s">
        <v>15</v>
      </c>
      <c r="L891" s="423" t="s">
        <v>12</v>
      </c>
      <c r="M891" s="196" t="s">
        <v>1091</v>
      </c>
      <c r="N891" s="549" t="s">
        <v>993</v>
      </c>
      <c r="O891" s="424" t="s">
        <v>1092</v>
      </c>
      <c r="P891" s="772" t="s">
        <v>1092</v>
      </c>
      <c r="Q891" s="200" t="s">
        <v>1093</v>
      </c>
      <c r="R891" s="201" t="s">
        <v>1094</v>
      </c>
      <c r="S891" s="350" t="s">
        <v>1095</v>
      </c>
      <c r="T891" s="203" t="s">
        <v>1095</v>
      </c>
      <c r="U891" s="204" t="s">
        <v>1096</v>
      </c>
      <c r="V891" s="205" t="s">
        <v>1093</v>
      </c>
      <c r="W891" s="206" t="s">
        <v>1094</v>
      </c>
      <c r="X891" s="207" t="s">
        <v>1097</v>
      </c>
      <c r="Y891" s="208">
        <f>$X$33</f>
        <v>0.49</v>
      </c>
      <c r="Z891" s="207" t="s">
        <v>1098</v>
      </c>
      <c r="AA891" s="209" t="s">
        <v>1099</v>
      </c>
      <c r="AB891" s="209" t="s">
        <v>1100</v>
      </c>
      <c r="AC891" s="210" t="s">
        <v>1092</v>
      </c>
      <c r="AD891" s="211" t="s">
        <v>1101</v>
      </c>
      <c r="AE891" s="212" t="s">
        <v>1102</v>
      </c>
      <c r="AF891" s="208" t="s">
        <v>1103</v>
      </c>
      <c r="AG891" s="1867" t="s">
        <v>1104</v>
      </c>
      <c r="AH891" s="213" t="s">
        <v>1105</v>
      </c>
      <c r="AI891" s="220" t="s">
        <v>1106</v>
      </c>
      <c r="AJ891" s="483" t="s">
        <v>1107</v>
      </c>
      <c r="AK891" s="484" t="s">
        <v>1108</v>
      </c>
      <c r="AL891" s="221" t="s">
        <v>1109</v>
      </c>
      <c r="AM891" s="221" t="s">
        <v>1175</v>
      </c>
      <c r="AN891" s="221" t="s">
        <v>1176</v>
      </c>
      <c r="AO891" s="13"/>
      <c r="AP891" s="13"/>
    </row>
    <row r="892" spans="1:42" ht="15.75">
      <c r="A892" s="271"/>
      <c r="B892" s="351" t="s">
        <v>224</v>
      </c>
      <c r="C892" s="1608" t="s">
        <v>190</v>
      </c>
      <c r="D892" s="224">
        <v>71</v>
      </c>
      <c r="E892" s="224">
        <v>10</v>
      </c>
      <c r="F892" s="224">
        <v>280</v>
      </c>
      <c r="G892" s="396">
        <v>60</v>
      </c>
      <c r="H892" s="397">
        <f t="shared" ref="H892:H897" si="418">G892*(1+$H$33)</f>
        <v>64.2</v>
      </c>
      <c r="I892" s="397">
        <f t="shared" ref="I892:I897" si="419">H892-H892*$J$833</f>
        <v>32.742000000000004</v>
      </c>
      <c r="J892" s="1039">
        <f t="shared" ref="J892:J897" si="420">G892-G892*$J$833</f>
        <v>30.6</v>
      </c>
      <c r="K892" s="1609">
        <v>83</v>
      </c>
      <c r="L892" s="478">
        <v>76</v>
      </c>
      <c r="M892" s="1030">
        <f t="shared" ref="M892:M897" si="421">L892/D892*100%</f>
        <v>1.0704225352112675</v>
      </c>
      <c r="N892" s="258">
        <f t="shared" ref="N892:N897" si="422">K892-(K892*$O$33)</f>
        <v>41.5</v>
      </c>
      <c r="O892" s="437">
        <f t="shared" ref="O892:O897" si="423">((N892/J892)-1)*100%</f>
        <v>0.35620915032679723</v>
      </c>
      <c r="P892" s="1599">
        <f t="shared" ref="P892:P897" si="424">((N892/I892)-1)*100%</f>
        <v>0.26748518722130576</v>
      </c>
      <c r="Q892" s="234">
        <v>0.76155606407322651</v>
      </c>
      <c r="R892" s="235">
        <f t="shared" ref="R892:R897" si="425">Q892*$R$33</f>
        <v>35.818266361556063</v>
      </c>
      <c r="S892" s="236">
        <f t="shared" ref="S892:S897" si="426">((J892-R892)/J892)*100%</f>
        <v>-0.17053158044300853</v>
      </c>
      <c r="T892" s="237">
        <f t="shared" ref="T892:T897" si="427">((I892-R892)/I892)*100%</f>
        <v>-9.3954748077577976E-2</v>
      </c>
      <c r="U892" s="238">
        <v>0.641235</v>
      </c>
      <c r="V892" s="239">
        <f t="shared" ref="V892:V897" si="428">U892*$X$31</f>
        <v>0.769482</v>
      </c>
      <c r="W892" s="239">
        <f t="shared" ref="W892:W897" si="429">V892*$R$33</f>
        <v>36.191046906000004</v>
      </c>
      <c r="X892" s="240">
        <f>(ROUND(W892/(1-$AA$890),0))</f>
        <v>43</v>
      </c>
      <c r="Y892" s="239">
        <f t="shared" ref="Y892:Y897" si="430">Z892*(1-$X$33)</f>
        <v>41.31</v>
      </c>
      <c r="Z892" s="240">
        <f t="shared" ref="Z892:Z897" si="431">ROUND(X892/(1-$X$828),0)</f>
        <v>81</v>
      </c>
      <c r="AA892" s="241">
        <f t="shared" ref="AA892:AA897" si="432">((X892-W892)/X892)*100%</f>
        <v>0.15834774637209292</v>
      </c>
      <c r="AB892" s="241">
        <f t="shared" ref="AB892:AB897" si="433">((Y892-W892)/Y892)*100%</f>
        <v>0.12391559172113285</v>
      </c>
      <c r="AC892" s="242">
        <f t="shared" ref="AC892:AC897" si="434">((N892/Y892)-1)*100%</f>
        <v>4.5993706124425326E-3</v>
      </c>
      <c r="AD892" s="243">
        <f t="shared" ref="AD892:AD897" si="435">((N892*0.96-W892)/(N892*0.96))*100%</f>
        <v>9.1590188102409459E-2</v>
      </c>
      <c r="AE892" s="238">
        <f t="shared" ref="AE892:AE897" si="436">N892/$R$33</f>
        <v>0.88235919460804113</v>
      </c>
      <c r="AF892" s="239">
        <f>(V892/(1-$AA$890))</f>
        <v>0.90527294117647061</v>
      </c>
      <c r="AG892" s="1868">
        <v>1.71</v>
      </c>
      <c r="AH892" s="244">
        <f t="shared" ref="AH892:AH897" si="437">((AF892-V892)/AF892)*100%</f>
        <v>0.15000000000000002</v>
      </c>
      <c r="AI892" s="1372">
        <f t="shared" ref="AI892:AI897" si="438">AJ892/$AJ$898</f>
        <v>0.84056625141562857</v>
      </c>
      <c r="AJ892" s="338">
        <f>[1]Статистика!D300</f>
        <v>37111</v>
      </c>
      <c r="AK892" s="297">
        <f t="shared" ref="AK892:AK897" si="439">Q892*S892*AJ892</f>
        <v>-4819.5817893589447</v>
      </c>
      <c r="AL892" s="866">
        <f t="shared" ref="AL892:AL897" si="440">AK892/$AK$898</f>
        <v>0.64865839139597403</v>
      </c>
      <c r="AM892" s="92">
        <f t="shared" ref="AM892:AM897" si="441">AJ892/$AJ$1101</f>
        <v>4.9869986763510288E-2</v>
      </c>
      <c r="AN892" s="92">
        <f t="shared" ref="AN892:AN897" si="442">AK892/$AK$1101</f>
        <v>6.3210670317095125E-2</v>
      </c>
      <c r="AO892" s="13"/>
      <c r="AP892" s="13"/>
    </row>
    <row r="893" spans="1:42" ht="15.75">
      <c r="A893" s="187"/>
      <c r="B893" s="1534" t="s">
        <v>225</v>
      </c>
      <c r="C893" s="1566" t="s">
        <v>192</v>
      </c>
      <c r="D893" s="926">
        <v>130</v>
      </c>
      <c r="E893" s="926">
        <v>10</v>
      </c>
      <c r="F893" s="926">
        <v>140</v>
      </c>
      <c r="G893" s="433">
        <v>110</v>
      </c>
      <c r="H893" s="504">
        <f t="shared" si="418"/>
        <v>117.7</v>
      </c>
      <c r="I893" s="504">
        <f t="shared" si="419"/>
        <v>60.027000000000001</v>
      </c>
      <c r="J893" s="1536">
        <f t="shared" si="420"/>
        <v>56.1</v>
      </c>
      <c r="K893" s="1515">
        <v>143</v>
      </c>
      <c r="L893" s="929">
        <v>129</v>
      </c>
      <c r="M893" s="495">
        <f t="shared" si="421"/>
        <v>0.99230769230769234</v>
      </c>
      <c r="N893" s="650">
        <f t="shared" si="422"/>
        <v>71.5</v>
      </c>
      <c r="O893" s="1610">
        <f t="shared" si="423"/>
        <v>0.27450980392156854</v>
      </c>
      <c r="P893" s="233">
        <f t="shared" si="424"/>
        <v>0.19113065787062489</v>
      </c>
      <c r="Q893" s="1570">
        <v>1.4228792385484827</v>
      </c>
      <c r="R893" s="650">
        <f t="shared" si="425"/>
        <v>66.922279226650787</v>
      </c>
      <c r="S893" s="933">
        <f t="shared" si="426"/>
        <v>-0.19291050314885536</v>
      </c>
      <c r="T893" s="260">
        <f t="shared" si="427"/>
        <v>-0.11486962911107977</v>
      </c>
      <c r="U893" s="261">
        <v>1.17018</v>
      </c>
      <c r="V893" s="239">
        <f t="shared" si="428"/>
        <v>1.4042159999999999</v>
      </c>
      <c r="W893" s="262">
        <f t="shared" si="429"/>
        <v>66.044491128000004</v>
      </c>
      <c r="X893" s="240">
        <f>(ROUND(W893/(1-$AC$890),0))</f>
        <v>75</v>
      </c>
      <c r="Y893" s="239">
        <f t="shared" si="430"/>
        <v>72.42</v>
      </c>
      <c r="Z893" s="240">
        <f t="shared" si="431"/>
        <v>142</v>
      </c>
      <c r="AA893" s="264">
        <f t="shared" si="432"/>
        <v>0.11940678495999994</v>
      </c>
      <c r="AB893" s="241">
        <f t="shared" si="433"/>
        <v>8.803519569179781E-2</v>
      </c>
      <c r="AC893" s="1198">
        <f t="shared" si="434"/>
        <v>-1.270367301850317E-2</v>
      </c>
      <c r="AD893" s="266">
        <f t="shared" si="435"/>
        <v>3.7813357692307641E-2</v>
      </c>
      <c r="AE893" s="261">
        <f t="shared" si="436"/>
        <v>1.5202092148066251</v>
      </c>
      <c r="AF893" s="239">
        <f>(V893/(1-$AC$890))</f>
        <v>1.5956999999999999</v>
      </c>
      <c r="AG893" s="1868">
        <v>3.01</v>
      </c>
      <c r="AH893" s="267">
        <f t="shared" si="437"/>
        <v>0.12</v>
      </c>
      <c r="AI893" s="1374">
        <f t="shared" si="438"/>
        <v>9.6081540203850513E-2</v>
      </c>
      <c r="AJ893" s="333">
        <f>[1]Статистика!D301</f>
        <v>4242</v>
      </c>
      <c r="AK893" s="270">
        <f t="shared" si="439"/>
        <v>-1164.3795799722764</v>
      </c>
      <c r="AL893" s="506">
        <f t="shared" si="440"/>
        <v>0.15671164394112244</v>
      </c>
      <c r="AM893" s="77">
        <f t="shared" si="441"/>
        <v>5.7004253146185945E-3</v>
      </c>
      <c r="AN893" s="77">
        <f t="shared" si="442"/>
        <v>1.527128638341357E-2</v>
      </c>
      <c r="AO893" s="13"/>
      <c r="AP893" s="13"/>
    </row>
    <row r="894" spans="1:42" ht="15.75">
      <c r="A894" s="187"/>
      <c r="B894" s="1391" t="s">
        <v>226</v>
      </c>
      <c r="C894" s="1611" t="s">
        <v>227</v>
      </c>
      <c r="D894" s="442">
        <v>240</v>
      </c>
      <c r="E894" s="442">
        <v>7</v>
      </c>
      <c r="F894" s="442">
        <v>70</v>
      </c>
      <c r="G894" s="443">
        <v>206</v>
      </c>
      <c r="H894" s="711">
        <f t="shared" si="418"/>
        <v>220.42000000000002</v>
      </c>
      <c r="I894" s="711">
        <f t="shared" si="419"/>
        <v>112.41420000000001</v>
      </c>
      <c r="J894" s="690">
        <f t="shared" si="420"/>
        <v>105.06</v>
      </c>
      <c r="K894" s="398">
        <v>231</v>
      </c>
      <c r="L894" s="322">
        <v>205</v>
      </c>
      <c r="M894" s="385">
        <f t="shared" si="421"/>
        <v>0.85416666666666663</v>
      </c>
      <c r="N894" s="258">
        <f t="shared" si="422"/>
        <v>115.5</v>
      </c>
      <c r="O894" s="232">
        <f t="shared" si="423"/>
        <v>9.9371787549971335E-2</v>
      </c>
      <c r="P894" s="1612">
        <f t="shared" si="424"/>
        <v>2.7450268738290928E-2</v>
      </c>
      <c r="Q894" s="273">
        <v>2.6278443113772458</v>
      </c>
      <c r="R894" s="258">
        <f t="shared" si="425"/>
        <v>123.59540149700601</v>
      </c>
      <c r="S894" s="259">
        <f t="shared" si="426"/>
        <v>-0.17642681798025894</v>
      </c>
      <c r="T894" s="260">
        <f t="shared" si="427"/>
        <v>-9.9464315869400841E-2</v>
      </c>
      <c r="U894" s="261">
        <v>2.1670000000000003</v>
      </c>
      <c r="V894" s="239">
        <f t="shared" si="428"/>
        <v>2.6004</v>
      </c>
      <c r="W894" s="262">
        <f t="shared" si="429"/>
        <v>122.30461320000001</v>
      </c>
      <c r="X894" s="240">
        <f>(ROUND(W894/(1-$AB$890),0))</f>
        <v>142</v>
      </c>
      <c r="Y894" s="239">
        <f t="shared" si="430"/>
        <v>136.68</v>
      </c>
      <c r="Z894" s="240">
        <f t="shared" si="431"/>
        <v>268</v>
      </c>
      <c r="AA894" s="264">
        <f t="shared" si="432"/>
        <v>0.13869990704225349</v>
      </c>
      <c r="AB894" s="241">
        <f t="shared" si="433"/>
        <v>0.10517549604916594</v>
      </c>
      <c r="AC894" s="265">
        <f t="shared" si="434"/>
        <v>-0.15496049165935033</v>
      </c>
      <c r="AD894" s="266">
        <f t="shared" si="435"/>
        <v>-0.10303583333333342</v>
      </c>
      <c r="AE894" s="261">
        <f t="shared" si="436"/>
        <v>2.4557225777645484</v>
      </c>
      <c r="AF894" s="239">
        <f>(V894/(1-$AB$890))</f>
        <v>3.0237209302325581</v>
      </c>
      <c r="AG894" s="1868">
        <v>5.71</v>
      </c>
      <c r="AH894" s="267">
        <f t="shared" si="437"/>
        <v>0.13999999999999996</v>
      </c>
      <c r="AI894" s="1374">
        <f t="shared" si="438"/>
        <v>5.3272933182332956E-2</v>
      </c>
      <c r="AJ894" s="333">
        <f>[1]Статистика!D302</f>
        <v>2352</v>
      </c>
      <c r="AK894" s="270">
        <f t="shared" si="439"/>
        <v>-1090.4394379289665</v>
      </c>
      <c r="AL894" s="506">
        <f t="shared" si="440"/>
        <v>0.14676018016405837</v>
      </c>
      <c r="AM894" s="77">
        <f t="shared" si="441"/>
        <v>3.1606318576103097E-3</v>
      </c>
      <c r="AN894" s="77">
        <f t="shared" si="442"/>
        <v>1.4301532959533922E-2</v>
      </c>
      <c r="AO894" s="13"/>
      <c r="AP894" s="13"/>
    </row>
    <row r="895" spans="1:42" ht="15.75">
      <c r="A895" s="187"/>
      <c r="B895" s="1534" t="s">
        <v>1372</v>
      </c>
      <c r="C895" s="926" t="s">
        <v>1373</v>
      </c>
      <c r="D895" s="926">
        <v>450</v>
      </c>
      <c r="E895" s="926">
        <v>5</v>
      </c>
      <c r="F895" s="926">
        <v>50</v>
      </c>
      <c r="G895" s="433">
        <v>416</v>
      </c>
      <c r="H895" s="504">
        <f t="shared" si="418"/>
        <v>445.12</v>
      </c>
      <c r="I895" s="504">
        <f t="shared" si="419"/>
        <v>227.0112</v>
      </c>
      <c r="J895" s="1536">
        <f t="shared" si="420"/>
        <v>212.16</v>
      </c>
      <c r="K895" s="1515">
        <v>542</v>
      </c>
      <c r="L895" s="929">
        <v>448</v>
      </c>
      <c r="M895" s="495">
        <f t="shared" si="421"/>
        <v>0.99555555555555553</v>
      </c>
      <c r="N895" s="650">
        <f t="shared" si="422"/>
        <v>271</v>
      </c>
      <c r="O895" s="1598">
        <f t="shared" si="423"/>
        <v>0.27733785822021129</v>
      </c>
      <c r="P895" s="1599">
        <f t="shared" si="424"/>
        <v>0.19377369927122534</v>
      </c>
      <c r="Q895" s="1570">
        <v>5.0304814004376377</v>
      </c>
      <c r="R895" s="650">
        <f t="shared" si="425"/>
        <v>236.59863170678341</v>
      </c>
      <c r="S895" s="933">
        <f t="shared" si="426"/>
        <v>-0.11518962908551759</v>
      </c>
      <c r="T895" s="260">
        <f t="shared" si="427"/>
        <v>-4.2233298210764075E-2</v>
      </c>
      <c r="U895" s="261">
        <f>Q895/1.2</f>
        <v>4.1920678336980313</v>
      </c>
      <c r="V895" s="239">
        <f t="shared" si="428"/>
        <v>5.0304814004376377</v>
      </c>
      <c r="W895" s="262">
        <f t="shared" si="429"/>
        <v>236.59863170678341</v>
      </c>
      <c r="X895" s="240">
        <f>(ROUND(W895/(1-$AA$890),0))</f>
        <v>278</v>
      </c>
      <c r="Y895" s="239">
        <f t="shared" si="430"/>
        <v>267.75</v>
      </c>
      <c r="Z895" s="240">
        <f t="shared" si="431"/>
        <v>525</v>
      </c>
      <c r="AA895" s="264">
        <f t="shared" si="432"/>
        <v>0.1489257852273978</v>
      </c>
      <c r="AB895" s="241">
        <f t="shared" si="433"/>
        <v>0.11634497961985656</v>
      </c>
      <c r="AC895" s="242">
        <f t="shared" si="434"/>
        <v>1.2138188608776801E-2</v>
      </c>
      <c r="AD895" s="266">
        <f t="shared" si="435"/>
        <v>9.0564915026201426E-2</v>
      </c>
      <c r="AE895" s="261">
        <f t="shared" si="436"/>
        <v>5.7619118491272081</v>
      </c>
      <c r="AF895" s="239">
        <f>(V895/(1-$AA$890))</f>
        <v>5.9182134122795738</v>
      </c>
      <c r="AG895" s="1868">
        <v>11.17</v>
      </c>
      <c r="AH895" s="267">
        <f t="shared" si="437"/>
        <v>0.15</v>
      </c>
      <c r="AI895" s="1374">
        <f t="shared" si="438"/>
        <v>4.6206115515288792E-3</v>
      </c>
      <c r="AJ895" s="333">
        <f>[1]Статистика!D303</f>
        <v>204</v>
      </c>
      <c r="AK895" s="270">
        <f t="shared" si="439"/>
        <v>-118.20969447415335</v>
      </c>
      <c r="AL895" s="506">
        <f t="shared" si="440"/>
        <v>1.5909619053318901E-2</v>
      </c>
      <c r="AM895" s="77">
        <f t="shared" si="441"/>
        <v>2.7413643662946562E-4</v>
      </c>
      <c r="AN895" s="77">
        <f t="shared" si="442"/>
        <v>1.5503656442116566E-3</v>
      </c>
      <c r="AO895" s="13"/>
      <c r="AP895" s="13"/>
    </row>
    <row r="896" spans="1:42" ht="15.75">
      <c r="A896" s="187"/>
      <c r="B896" s="1391" t="s">
        <v>1374</v>
      </c>
      <c r="C896" s="251" t="s">
        <v>1375</v>
      </c>
      <c r="D896" s="251">
        <v>560</v>
      </c>
      <c r="E896" s="251">
        <v>5</v>
      </c>
      <c r="F896" s="251">
        <v>25</v>
      </c>
      <c r="G896" s="328">
        <v>547.53869879518061</v>
      </c>
      <c r="H896" s="504">
        <f t="shared" si="418"/>
        <v>585.8664077108433</v>
      </c>
      <c r="I896" s="504">
        <f t="shared" si="419"/>
        <v>298.79186793253007</v>
      </c>
      <c r="J896" s="690">
        <f t="shared" si="420"/>
        <v>279.24473638554213</v>
      </c>
      <c r="K896" s="398">
        <v>702</v>
      </c>
      <c r="L896" s="322">
        <v>560</v>
      </c>
      <c r="M896" s="385">
        <f t="shared" si="421"/>
        <v>1</v>
      </c>
      <c r="N896" s="258">
        <f t="shared" si="422"/>
        <v>351</v>
      </c>
      <c r="O896" s="437">
        <f t="shared" si="423"/>
        <v>0.25696192001051088</v>
      </c>
      <c r="P896" s="1599">
        <f t="shared" si="424"/>
        <v>0.17473076636496354</v>
      </c>
      <c r="Q896" s="257">
        <v>6.6064801864801863</v>
      </c>
      <c r="R896" s="258">
        <f t="shared" si="425"/>
        <v>310.72258261072261</v>
      </c>
      <c r="S896" s="259">
        <f t="shared" si="426"/>
        <v>-0.11272494025355691</v>
      </c>
      <c r="T896" s="260">
        <f t="shared" si="427"/>
        <v>-3.9929850704258821E-2</v>
      </c>
      <c r="U896" s="261">
        <f>Q896/1.2</f>
        <v>5.5054001554001557</v>
      </c>
      <c r="V896" s="239">
        <f t="shared" si="428"/>
        <v>6.6064801864801863</v>
      </c>
      <c r="W896" s="262">
        <f t="shared" si="429"/>
        <v>310.72258261072261</v>
      </c>
      <c r="X896" s="240">
        <f>(ROUND(W896/(1-$AA$890),0))</f>
        <v>366</v>
      </c>
      <c r="Y896" s="239">
        <f t="shared" si="430"/>
        <v>352.41</v>
      </c>
      <c r="Z896" s="240">
        <f t="shared" si="431"/>
        <v>691</v>
      </c>
      <c r="AA896" s="264">
        <f t="shared" si="432"/>
        <v>0.15103119505267046</v>
      </c>
      <c r="AB896" s="241">
        <f t="shared" si="433"/>
        <v>0.11829237930046653</v>
      </c>
      <c r="AC896" s="242">
        <f t="shared" si="434"/>
        <v>-4.0010215374138847E-3</v>
      </c>
      <c r="AD896" s="266">
        <f t="shared" si="435"/>
        <v>7.786508009638346E-2</v>
      </c>
      <c r="AE896" s="261">
        <f t="shared" si="436"/>
        <v>7.4628452363234326</v>
      </c>
      <c r="AF896" s="239">
        <f>(V896/(1-$AA$890))</f>
        <v>7.7723296311531609</v>
      </c>
      <c r="AG896" s="1868">
        <v>14.67</v>
      </c>
      <c r="AH896" s="267">
        <f t="shared" si="437"/>
        <v>0.15000000000000005</v>
      </c>
      <c r="AI896" s="1374">
        <f t="shared" si="438"/>
        <v>2.9218573046432615E-3</v>
      </c>
      <c r="AJ896" s="333">
        <f>[1]Статистика!D304</f>
        <v>129</v>
      </c>
      <c r="AK896" s="270">
        <f t="shared" si="439"/>
        <v>-96.06824587563996</v>
      </c>
      <c r="AL896" s="506">
        <f t="shared" si="440"/>
        <v>1.2929643391779466E-2</v>
      </c>
      <c r="AM896" s="77">
        <f t="shared" si="441"/>
        <v>1.7335098198627974E-4</v>
      </c>
      <c r="AN896" s="77">
        <f t="shared" si="442"/>
        <v>1.2599720231730777E-3</v>
      </c>
      <c r="AO896" s="13"/>
      <c r="AP896" s="13"/>
    </row>
    <row r="897" spans="1:42" ht="16.5" thickBot="1">
      <c r="A897" s="187"/>
      <c r="B897" s="473" t="s">
        <v>1376</v>
      </c>
      <c r="C897" s="276" t="s">
        <v>1377</v>
      </c>
      <c r="D897" s="276">
        <v>945</v>
      </c>
      <c r="E897" s="276">
        <v>5</v>
      </c>
      <c r="F897" s="276">
        <v>15</v>
      </c>
      <c r="G897" s="339">
        <v>924.00366265060245</v>
      </c>
      <c r="H897" s="867">
        <f t="shared" si="418"/>
        <v>988.68391903614463</v>
      </c>
      <c r="I897" s="867">
        <f t="shared" si="419"/>
        <v>504.22879870843377</v>
      </c>
      <c r="J897" s="1323">
        <f t="shared" si="420"/>
        <v>471.24186795180725</v>
      </c>
      <c r="K897" s="1524">
        <v>1187</v>
      </c>
      <c r="L897" s="341">
        <v>944</v>
      </c>
      <c r="M897" s="896">
        <f t="shared" si="421"/>
        <v>0.99894179894179891</v>
      </c>
      <c r="N897" s="258">
        <f t="shared" si="422"/>
        <v>593.5</v>
      </c>
      <c r="O897" s="283">
        <f t="shared" si="423"/>
        <v>0.25943817891133514</v>
      </c>
      <c r="P897" s="1613">
        <f t="shared" si="424"/>
        <v>0.17704502701993929</v>
      </c>
      <c r="Q897" s="284">
        <v>11.153500000000001</v>
      </c>
      <c r="R897" s="285">
        <f t="shared" si="425"/>
        <v>524.5825655000001</v>
      </c>
      <c r="S897" s="286">
        <f t="shared" si="426"/>
        <v>-0.11319176239588261</v>
      </c>
      <c r="T897" s="287">
        <f t="shared" si="427"/>
        <v>-4.0366133080264086E-2</v>
      </c>
      <c r="U897" s="261">
        <f>Q897/1.2</f>
        <v>9.2945833333333354</v>
      </c>
      <c r="V897" s="239">
        <f t="shared" si="428"/>
        <v>11.153500000000003</v>
      </c>
      <c r="W897" s="289">
        <f t="shared" si="429"/>
        <v>524.5825655000001</v>
      </c>
      <c r="X897" s="240">
        <f>(ROUND(W897/(1-$AA$890),0))</f>
        <v>617</v>
      </c>
      <c r="Y897" s="291">
        <f t="shared" si="430"/>
        <v>593.64</v>
      </c>
      <c r="Z897" s="240">
        <f t="shared" si="431"/>
        <v>1164</v>
      </c>
      <c r="AA897" s="292">
        <f t="shared" si="432"/>
        <v>0.14978514505672594</v>
      </c>
      <c r="AB897" s="241">
        <f t="shared" si="433"/>
        <v>0.11632880954787395</v>
      </c>
      <c r="AC897" s="345">
        <f t="shared" si="434"/>
        <v>-2.3583316488107187E-4</v>
      </c>
      <c r="AD897" s="294">
        <f t="shared" si="435"/>
        <v>7.9292043140971449E-2</v>
      </c>
      <c r="AE897" s="288">
        <f t="shared" si="436"/>
        <v>12.618799566261986</v>
      </c>
      <c r="AF897" s="239">
        <f>(V897/(1-$AA$890))</f>
        <v>13.121764705882356</v>
      </c>
      <c r="AG897" s="1868">
        <v>24.76</v>
      </c>
      <c r="AH897" s="295">
        <f t="shared" si="437"/>
        <v>0.14999999999999997</v>
      </c>
      <c r="AI897" s="1374">
        <f t="shared" si="438"/>
        <v>2.5368063420158548E-3</v>
      </c>
      <c r="AJ897" s="333">
        <f>[1]Статистика!D305</f>
        <v>112</v>
      </c>
      <c r="AK897" s="270">
        <f t="shared" si="439"/>
        <v>-141.39824405083741</v>
      </c>
      <c r="AL897" s="506">
        <f t="shared" si="440"/>
        <v>1.9030522053746734E-2</v>
      </c>
      <c r="AM897" s="77">
        <f t="shared" si="441"/>
        <v>1.5050627893382427E-4</v>
      </c>
      <c r="AN897" s="77">
        <f t="shared" si="442"/>
        <v>1.8544923976282334E-3</v>
      </c>
      <c r="AO897" s="13"/>
      <c r="AP897" s="13"/>
    </row>
    <row r="898" spans="1:42" ht="15.75" thickBot="1">
      <c r="A898" s="149" t="s">
        <v>26</v>
      </c>
      <c r="C898" s="157" t="s">
        <v>23</v>
      </c>
      <c r="J898" s="532"/>
      <c r="K898" s="533"/>
      <c r="P898" s="1123"/>
      <c r="Q898" s="1091"/>
      <c r="R898" s="1092"/>
      <c r="S898" s="364"/>
      <c r="T898" s="364"/>
      <c r="U898" s="872"/>
      <c r="V898" s="872"/>
      <c r="W898" s="872"/>
      <c r="X898" s="872"/>
      <c r="Y898" s="872"/>
      <c r="Z898" s="872"/>
      <c r="AA898" s="364"/>
      <c r="AB898" s="364"/>
      <c r="AC898" s="364"/>
      <c r="AD898" s="364">
        <f>AVERAGE(AD892:AD897)</f>
        <v>4.5681625120823334E-2</v>
      </c>
      <c r="AE898" s="872"/>
      <c r="AF898" s="872"/>
      <c r="AG898" s="1882"/>
      <c r="AH898" s="364"/>
      <c r="AI898" s="512">
        <f>S892*AI892+S893*AI893+S894*AI894+S895*AI895+S896*AI896+S897*AI897</f>
        <v>-0.17242576197241213</v>
      </c>
      <c r="AJ898" s="513">
        <f>SUM(AJ892:AJ897)</f>
        <v>44150</v>
      </c>
      <c r="AK898" s="514">
        <f>SUM(AK892:AK897)</f>
        <v>-7430.0769916608187</v>
      </c>
      <c r="AM898" s="307">
        <f>SUM(AM892:AM897)</f>
        <v>5.9329037633288756E-2</v>
      </c>
      <c r="AN898" s="307">
        <f>SUM(AN892:AN897)</f>
        <v>9.7448319725055577E-2</v>
      </c>
      <c r="AO898" s="13"/>
      <c r="AP898" s="13"/>
    </row>
    <row r="899" spans="1:42" ht="15.75" thickBot="1">
      <c r="A899" s="187"/>
      <c r="B899" s="157"/>
      <c r="C899" s="148" t="s">
        <v>27</v>
      </c>
      <c r="J899" s="532"/>
      <c r="K899" s="2309" t="s">
        <v>1378</v>
      </c>
      <c r="L899" s="2309"/>
      <c r="M899" s="2309"/>
      <c r="N899" s="2309"/>
      <c r="O899" s="2309"/>
      <c r="P899" s="1852"/>
      <c r="T899" s="1851"/>
      <c r="U899" s="309"/>
      <c r="V899" s="309"/>
      <c r="W899" s="309"/>
      <c r="X899" s="309"/>
      <c r="Y899" s="309"/>
      <c r="Z899" s="309"/>
      <c r="AA899" s="346">
        <v>0.13</v>
      </c>
      <c r="AB899" s="628">
        <v>0.11</v>
      </c>
      <c r="AC899" s="628"/>
      <c r="AD899" s="1851"/>
      <c r="AE899" s="188"/>
      <c r="AF899" s="188"/>
      <c r="AG899" s="1866"/>
      <c r="AH899" s="1851"/>
      <c r="AO899" s="13"/>
      <c r="AP899" s="13"/>
    </row>
    <row r="900" spans="1:42" ht="60.75" thickBot="1">
      <c r="A900" s="187"/>
      <c r="B900" s="369" t="s">
        <v>10</v>
      </c>
      <c r="C900" s="1334" t="s">
        <v>11</v>
      </c>
      <c r="D900" s="370" t="s">
        <v>12</v>
      </c>
      <c r="E900" s="370" t="s">
        <v>13</v>
      </c>
      <c r="F900" s="370" t="s">
        <v>14</v>
      </c>
      <c r="G900" s="371" t="s">
        <v>15</v>
      </c>
      <c r="H900" s="372" t="s">
        <v>1090</v>
      </c>
      <c r="I900" s="372">
        <f>$C$20</f>
        <v>0.49</v>
      </c>
      <c r="J900" s="684">
        <f>$C$20</f>
        <v>0.49</v>
      </c>
      <c r="K900" s="601" t="s">
        <v>15</v>
      </c>
      <c r="L900" s="315" t="s">
        <v>12</v>
      </c>
      <c r="M900" s="316" t="s">
        <v>1091</v>
      </c>
      <c r="N900" s="605" t="s">
        <v>993</v>
      </c>
      <c r="O900" s="1153" t="s">
        <v>1092</v>
      </c>
      <c r="P900" s="602" t="s">
        <v>1092</v>
      </c>
      <c r="Q900" s="200" t="s">
        <v>1093</v>
      </c>
      <c r="R900" s="201" t="s">
        <v>1094</v>
      </c>
      <c r="S900" s="350" t="s">
        <v>1095</v>
      </c>
      <c r="T900" s="203" t="s">
        <v>1095</v>
      </c>
      <c r="U900" s="204" t="s">
        <v>1096</v>
      </c>
      <c r="V900" s="205" t="s">
        <v>1093</v>
      </c>
      <c r="W900" s="206" t="s">
        <v>1094</v>
      </c>
      <c r="X900" s="207" t="s">
        <v>1097</v>
      </c>
      <c r="Y900" s="208">
        <f>$X$33</f>
        <v>0.49</v>
      </c>
      <c r="Z900" s="207" t="s">
        <v>1098</v>
      </c>
      <c r="AA900" s="209" t="s">
        <v>1099</v>
      </c>
      <c r="AB900" s="209" t="s">
        <v>1100</v>
      </c>
      <c r="AC900" s="210" t="s">
        <v>1092</v>
      </c>
      <c r="AD900" s="211" t="s">
        <v>1101</v>
      </c>
      <c r="AE900" s="212" t="s">
        <v>1102</v>
      </c>
      <c r="AF900" s="208" t="s">
        <v>1103</v>
      </c>
      <c r="AG900" s="1867" t="s">
        <v>1104</v>
      </c>
      <c r="AH900" s="213" t="s">
        <v>1105</v>
      </c>
      <c r="AI900" s="220" t="s">
        <v>1106</v>
      </c>
      <c r="AJ900" s="483" t="s">
        <v>1107</v>
      </c>
      <c r="AK900" s="484" t="s">
        <v>1108</v>
      </c>
      <c r="AL900" s="221" t="s">
        <v>1109</v>
      </c>
      <c r="AM900" s="221" t="s">
        <v>1175</v>
      </c>
      <c r="AN900" s="221" t="s">
        <v>1176</v>
      </c>
      <c r="AO900" s="13"/>
      <c r="AP900" s="13"/>
    </row>
    <row r="901" spans="1:42" ht="15.75">
      <c r="A901" s="271"/>
      <c r="B901" s="376" t="s">
        <v>228</v>
      </c>
      <c r="C901" s="377" t="s">
        <v>190</v>
      </c>
      <c r="D901" s="377">
        <v>92</v>
      </c>
      <c r="E901" s="377">
        <v>10</v>
      </c>
      <c r="F901" s="377">
        <v>220</v>
      </c>
      <c r="G901" s="689">
        <v>78</v>
      </c>
      <c r="H901" s="504">
        <f>G901*(1+$H$33)</f>
        <v>83.460000000000008</v>
      </c>
      <c r="I901" s="504">
        <f>H901-H901*$J$833</f>
        <v>42.564600000000006</v>
      </c>
      <c r="J901" s="1272">
        <f>G901-G901*$J$833</f>
        <v>39.78</v>
      </c>
      <c r="K901" s="807">
        <v>83</v>
      </c>
      <c r="L901" s="808">
        <v>65</v>
      </c>
      <c r="M901" s="1119">
        <f>L901/D901*100%</f>
        <v>0.70652173913043481</v>
      </c>
      <c r="N901" s="235">
        <f>K901-(K901*$O$33)</f>
        <v>41.5</v>
      </c>
      <c r="O901" s="1614">
        <f>((N901/J901)-1)*100%</f>
        <v>4.3237807943690365E-2</v>
      </c>
      <c r="P901" s="1615">
        <f>((N901/I901)-1)*100%</f>
        <v>-2.5011394445149437E-2</v>
      </c>
      <c r="Q901" s="234">
        <v>1</v>
      </c>
      <c r="R901" s="235">
        <f>Q901*$R$33</f>
        <v>47.033000000000001</v>
      </c>
      <c r="S901" s="236">
        <f>((J901-R901)/J901)*100%</f>
        <v>-0.1823278029160382</v>
      </c>
      <c r="T901" s="237">
        <f>((I901-R901)/I901)*100%</f>
        <v>-0.10497925506171783</v>
      </c>
      <c r="U901" s="238">
        <v>0.83724999999999994</v>
      </c>
      <c r="V901" s="239">
        <f>U901*$X$31</f>
        <v>1.0046999999999999</v>
      </c>
      <c r="W901" s="239">
        <f>V901*$R$33</f>
        <v>47.254055099999995</v>
      </c>
      <c r="X901" s="240">
        <f>(ROUND(W901/(1-$AA$899),0))</f>
        <v>54</v>
      </c>
      <c r="Y901" s="239">
        <f>Z901*(1-$X$33)</f>
        <v>52.02</v>
      </c>
      <c r="Z901" s="240">
        <f>ROUND(X901/(1-$X$828),0)</f>
        <v>102</v>
      </c>
      <c r="AA901" s="241">
        <f>((X901-W901)/X901)*100%</f>
        <v>0.12492490555555565</v>
      </c>
      <c r="AB901" s="241">
        <f>((Y901-W901)/Y901)*100%</f>
        <v>9.1617549019607988E-2</v>
      </c>
      <c r="AC901" s="265">
        <f>((N901/Y901)-1)*100%</f>
        <v>-0.20222991157247217</v>
      </c>
      <c r="AD901" s="243">
        <f>((N901*0.96-W901)/(N901*0.96))*100%</f>
        <v>-0.18609576054216867</v>
      </c>
      <c r="AE901" s="238">
        <f>N901/$R$33</f>
        <v>0.88235919460804113</v>
      </c>
      <c r="AF901" s="239">
        <f>(V901/(1-$AA$899))</f>
        <v>1.1548275862068964</v>
      </c>
      <c r="AG901" s="1868">
        <v>2.1800000000000002</v>
      </c>
      <c r="AH901" s="244">
        <f>((AF901-V901)/AF901)*100%</f>
        <v>0.12999999999999995</v>
      </c>
      <c r="AI901" s="92">
        <f>AJ901/$AJ$898</f>
        <v>0.51281993204983012</v>
      </c>
      <c r="AJ901" s="338">
        <f>[1]Статистика!D307</f>
        <v>22641</v>
      </c>
      <c r="AK901" s="297">
        <f>Q901*S901*AJ901</f>
        <v>-4128.0837858220211</v>
      </c>
      <c r="AL901" s="866">
        <f>AK901/$AK$904</f>
        <v>0.79805546073278588</v>
      </c>
      <c r="AM901" s="92">
        <f>AJ901/$AJ$1101</f>
        <v>3.0425113047684957E-2</v>
      </c>
      <c r="AN901" s="92">
        <f>AK901/$AK$1101</f>
        <v>5.4141407829837729E-2</v>
      </c>
      <c r="AO901" s="13"/>
      <c r="AP901" s="13"/>
    </row>
    <row r="902" spans="1:42" ht="15.75">
      <c r="A902" s="187"/>
      <c r="B902" s="925" t="s">
        <v>229</v>
      </c>
      <c r="C902" s="926" t="s">
        <v>192</v>
      </c>
      <c r="D902" s="926">
        <v>134</v>
      </c>
      <c r="E902" s="926">
        <v>8</v>
      </c>
      <c r="F902" s="926">
        <v>120</v>
      </c>
      <c r="G902" s="433">
        <v>126</v>
      </c>
      <c r="H902" s="357">
        <f>G902*(1+$H$33)</f>
        <v>134.82000000000002</v>
      </c>
      <c r="I902" s="357">
        <f>H902-H902*$J$833</f>
        <v>68.758200000000016</v>
      </c>
      <c r="J902" s="1616">
        <f>G902-G902*$J$833</f>
        <v>64.259999999999991</v>
      </c>
      <c r="K902" s="928">
        <v>167</v>
      </c>
      <c r="L902" s="929">
        <v>130</v>
      </c>
      <c r="M902" s="495">
        <f>L902/D902*100%</f>
        <v>0.97014925373134331</v>
      </c>
      <c r="N902" s="496">
        <f>K902-(K902*$O$33)</f>
        <v>83.5</v>
      </c>
      <c r="O902" s="932">
        <f>((N902/J902)-1)*100%</f>
        <v>0.29940865234982894</v>
      </c>
      <c r="P902" s="1601">
        <f>((N902/I902)-1)*100%</f>
        <v>0.21440060967273689</v>
      </c>
      <c r="Q902" s="1570">
        <v>1.8072787979966609</v>
      </c>
      <c r="R902" s="650">
        <f>Q902*$R$33</f>
        <v>85.001743706176953</v>
      </c>
      <c r="S902" s="1519">
        <f>((J902-R902)/J902)*100%</f>
        <v>-0.32277845792370002</v>
      </c>
      <c r="T902" s="260">
        <f>((I902-R902)/I902)*100%</f>
        <v>-0.23624154946140144</v>
      </c>
      <c r="U902" s="261">
        <v>1.2923200000000001</v>
      </c>
      <c r="V902" s="239">
        <f>U902*$X$31</f>
        <v>1.5507840000000002</v>
      </c>
      <c r="W902" s="262">
        <f>V902*$R$33</f>
        <v>72.938023872000016</v>
      </c>
      <c r="X902" s="240">
        <f>(ROUND(W902/(1-$AA$899),0))</f>
        <v>84</v>
      </c>
      <c r="Y902" s="239">
        <f>Z902*(1-$X$33)</f>
        <v>80.58</v>
      </c>
      <c r="Z902" s="240">
        <f>ROUND(X902/(1-$X$828),0)</f>
        <v>158</v>
      </c>
      <c r="AA902" s="264">
        <f>((X902-W902)/X902)*100%</f>
        <v>0.13169019199999982</v>
      </c>
      <c r="AB902" s="241">
        <f>((Y902-W902)/Y902)*100%</f>
        <v>9.4837132390171039E-2</v>
      </c>
      <c r="AC902" s="1198">
        <f>((N902/Y902)-1)*100%</f>
        <v>3.6237279722015403E-2</v>
      </c>
      <c r="AD902" s="266">
        <f>((N902*0.96-W902)/(N902*0.96))*100%</f>
        <v>9.0094512574850058E-2</v>
      </c>
      <c r="AE902" s="261">
        <f>N902/$R$33</f>
        <v>1.7753492228860588</v>
      </c>
      <c r="AF902" s="239">
        <f>(V902/(1-$AA$899))</f>
        <v>1.7825103448275863</v>
      </c>
      <c r="AG902" s="1868">
        <v>3.36</v>
      </c>
      <c r="AH902" s="267">
        <f>((AF902-V902)/AF902)*100%</f>
        <v>0.12999999999999995</v>
      </c>
      <c r="AI902" s="77">
        <f>AJ902/$AJ$898</f>
        <v>2.6477916194790486E-2</v>
      </c>
      <c r="AJ902" s="333">
        <f>[1]Статистика!D308</f>
        <v>1169</v>
      </c>
      <c r="AK902" s="270">
        <f>Q902*S902*AJ902</f>
        <v>-681.93692557955012</v>
      </c>
      <c r="AL902" s="506">
        <f>AK902/$AK$904</f>
        <v>0.13183440927319182</v>
      </c>
      <c r="AM902" s="77">
        <f>AJ902/$AJ$1101</f>
        <v>1.5709092863717908E-3</v>
      </c>
      <c r="AN902" s="77">
        <f>AK902/$AK$1101</f>
        <v>8.9438652696037946E-3</v>
      </c>
      <c r="AO902" s="13"/>
      <c r="AP902" s="13"/>
    </row>
    <row r="903" spans="1:42" ht="16.5" thickBot="1">
      <c r="A903" s="187"/>
      <c r="B903" s="925" t="s">
        <v>230</v>
      </c>
      <c r="C903" s="926" t="s">
        <v>194</v>
      </c>
      <c r="D903" s="926">
        <v>230</v>
      </c>
      <c r="E903" s="926">
        <v>7</v>
      </c>
      <c r="F903" s="926">
        <v>70</v>
      </c>
      <c r="G903" s="433">
        <v>201</v>
      </c>
      <c r="H903" s="357">
        <f>G903*(1+$H$33)</f>
        <v>215.07000000000002</v>
      </c>
      <c r="I903" s="357">
        <f>H903-H903*$J$833</f>
        <v>109.68570000000001</v>
      </c>
      <c r="J903" s="1616">
        <f>G903-G903*$J$833</f>
        <v>102.51</v>
      </c>
      <c r="K903" s="1617">
        <v>264</v>
      </c>
      <c r="L903" s="406">
        <v>216</v>
      </c>
      <c r="M903" s="1015">
        <f>L903/D903*100%</f>
        <v>0.93913043478260871</v>
      </c>
      <c r="N903" s="408">
        <f>K903-(K903*$O$33)</f>
        <v>132</v>
      </c>
      <c r="O903" s="409">
        <f>((N903/J903)-1)*100%</f>
        <v>0.28767925080479939</v>
      </c>
      <c r="P903" s="1604">
        <f>((N903/I903)-1)*100%</f>
        <v>0.20343855215401807</v>
      </c>
      <c r="Q903" s="1618">
        <v>2.6506273062730625</v>
      </c>
      <c r="R903" s="493">
        <f>Q903*$R$33</f>
        <v>124.66695409594095</v>
      </c>
      <c r="S903" s="1619">
        <f>((J903-R903)/J903)*100%</f>
        <v>-0.21614431856346644</v>
      </c>
      <c r="T903" s="260">
        <f>((I903-R903)/I903)*100%</f>
        <v>-0.13658347529295922</v>
      </c>
      <c r="U903" s="261">
        <v>2.1886700000000001</v>
      </c>
      <c r="V903" s="239">
        <f>U903*$X$31</f>
        <v>2.626404</v>
      </c>
      <c r="W903" s="262">
        <f>V903*$R$33</f>
        <v>123.527659332</v>
      </c>
      <c r="X903" s="240">
        <f>(ROUND(W903/(1-$AB$899),0))</f>
        <v>139</v>
      </c>
      <c r="Y903" s="239">
        <f>Z903*(1-$X$33)</f>
        <v>133.62</v>
      </c>
      <c r="Z903" s="240">
        <f>ROUND(X903/(1-$X$828),0)</f>
        <v>262</v>
      </c>
      <c r="AA903" s="264">
        <f>((X903-W903)/X903)*100%</f>
        <v>0.11131180336690648</v>
      </c>
      <c r="AB903" s="241">
        <f>((Y903-W903)/Y903)*100%</f>
        <v>7.5530165154916964E-2</v>
      </c>
      <c r="AC903" s="1198">
        <f>((N903/Y903)-1)*100%</f>
        <v>-1.2123933542882881E-2</v>
      </c>
      <c r="AD903" s="266">
        <f>((N903*0.96-W903)/(N903*0.96))*100%</f>
        <v>2.5192082291666668E-2</v>
      </c>
      <c r="AE903" s="261">
        <f>N903/$R$33</f>
        <v>2.8065400888737693</v>
      </c>
      <c r="AF903" s="239">
        <f>(V903/(1-$AB$899))</f>
        <v>2.9510157303370788</v>
      </c>
      <c r="AG903" s="1868">
        <v>5.57</v>
      </c>
      <c r="AH903" s="267">
        <f>((AF903-V903)/AF903)*100%</f>
        <v>0.11000000000000004</v>
      </c>
      <c r="AI903" s="77">
        <f>AJ903/$AJ$898</f>
        <v>1.4337485843714609E-2</v>
      </c>
      <c r="AJ903" s="333">
        <f>[1]Статистика!D309</f>
        <v>633</v>
      </c>
      <c r="AK903" s="270">
        <f>Q903*S903*AJ903</f>
        <v>-362.65711481310825</v>
      </c>
      <c r="AL903" s="506">
        <f>AK903/$AK$904</f>
        <v>7.0110129994022385E-2</v>
      </c>
      <c r="AM903" s="77">
        <f>AJ903/$AJ$1101</f>
        <v>8.50629237188489E-4</v>
      </c>
      <c r="AN903" s="77">
        <f>AK903/$AK$1101</f>
        <v>4.7563876544668843E-3</v>
      </c>
      <c r="AO903" s="13"/>
      <c r="AP903" s="13"/>
    </row>
    <row r="904" spans="1:42" ht="15.75" thickBot="1">
      <c r="A904" s="149" t="s">
        <v>28</v>
      </c>
      <c r="B904" s="157"/>
      <c r="C904" s="148" t="s">
        <v>25</v>
      </c>
      <c r="F904" s="157" t="s">
        <v>29</v>
      </c>
      <c r="J904" s="532"/>
      <c r="K904" s="2309" t="s">
        <v>1379</v>
      </c>
      <c r="L904" s="2309"/>
      <c r="M904" s="2309"/>
      <c r="N904" s="2309"/>
      <c r="O904" s="2309"/>
      <c r="P904" s="769"/>
      <c r="Q904" s="1091"/>
      <c r="R904" s="1092"/>
      <c r="S904" s="364"/>
      <c r="T904" s="1851"/>
      <c r="U904" s="309"/>
      <c r="V904" s="309"/>
      <c r="W904" s="309"/>
      <c r="X904" s="309"/>
      <c r="Y904" s="309"/>
      <c r="Z904" s="309"/>
      <c r="AA904" s="346">
        <v>0.12</v>
      </c>
      <c r="AB904" s="628">
        <v>0.22</v>
      </c>
      <c r="AC904" s="628"/>
      <c r="AD904" s="585">
        <f>AVERAGE(AD901:AD903)</f>
        <v>-2.3603055225217315E-2</v>
      </c>
      <c r="AE904" s="188"/>
      <c r="AF904" s="188"/>
      <c r="AG904" s="1866"/>
      <c r="AH904" s="1851"/>
      <c r="AI904" s="512">
        <f>S901*AI901+S902*AI902+S903*AI903</f>
        <v>-0.10514679856818801</v>
      </c>
      <c r="AJ904" s="513">
        <f>SUM(AJ901:AJ903)</f>
        <v>24443</v>
      </c>
      <c r="AK904" s="514">
        <f>SUM(AK901:AK903)</f>
        <v>-5172.677826214679</v>
      </c>
      <c r="AM904" s="307">
        <f>SUM(AM901:AM903)</f>
        <v>3.2846651571245236E-2</v>
      </c>
      <c r="AN904" s="307">
        <f>SUM(AN901:AN903)</f>
        <v>6.7841660753908406E-2</v>
      </c>
      <c r="AO904" s="13"/>
      <c r="AP904" s="13"/>
    </row>
    <row r="905" spans="1:42" ht="60.75" thickBot="1">
      <c r="A905" s="187"/>
      <c r="B905" s="369" t="s">
        <v>10</v>
      </c>
      <c r="C905" s="1334" t="s">
        <v>11</v>
      </c>
      <c r="D905" s="370" t="s">
        <v>12</v>
      </c>
      <c r="E905" s="370" t="s">
        <v>13</v>
      </c>
      <c r="F905" s="370" t="s">
        <v>14</v>
      </c>
      <c r="G905" s="371" t="s">
        <v>15</v>
      </c>
      <c r="H905" s="372" t="s">
        <v>1090</v>
      </c>
      <c r="I905" s="372">
        <f>$C$20</f>
        <v>0.49</v>
      </c>
      <c r="J905" s="684">
        <f>$C$20</f>
        <v>0.49</v>
      </c>
      <c r="K905" s="601" t="s">
        <v>15</v>
      </c>
      <c r="L905" s="315" t="s">
        <v>12</v>
      </c>
      <c r="M905" s="316" t="s">
        <v>1091</v>
      </c>
      <c r="N905" s="605" t="s">
        <v>993</v>
      </c>
      <c r="O905" s="317" t="s">
        <v>1092</v>
      </c>
      <c r="P905" s="602" t="s">
        <v>1092</v>
      </c>
      <c r="Q905" s="200" t="s">
        <v>1093</v>
      </c>
      <c r="R905" s="201" t="s">
        <v>1094</v>
      </c>
      <c r="S905" s="350" t="s">
        <v>1095</v>
      </c>
      <c r="T905" s="203" t="s">
        <v>1095</v>
      </c>
      <c r="U905" s="204" t="s">
        <v>1096</v>
      </c>
      <c r="V905" s="205" t="s">
        <v>1093</v>
      </c>
      <c r="W905" s="206" t="s">
        <v>1094</v>
      </c>
      <c r="X905" s="207" t="s">
        <v>1097</v>
      </c>
      <c r="Y905" s="208">
        <f>$X$33</f>
        <v>0.49</v>
      </c>
      <c r="Z905" s="207" t="s">
        <v>1098</v>
      </c>
      <c r="AA905" s="209" t="s">
        <v>1099</v>
      </c>
      <c r="AB905" s="209" t="s">
        <v>1100</v>
      </c>
      <c r="AC905" s="210" t="s">
        <v>1092</v>
      </c>
      <c r="AD905" s="211" t="s">
        <v>1101</v>
      </c>
      <c r="AE905" s="212" t="s">
        <v>1102</v>
      </c>
      <c r="AF905" s="208" t="s">
        <v>1103</v>
      </c>
      <c r="AG905" s="1867" t="s">
        <v>1104</v>
      </c>
      <c r="AH905" s="213" t="s">
        <v>1105</v>
      </c>
      <c r="AI905" s="220" t="s">
        <v>1106</v>
      </c>
      <c r="AJ905" s="483" t="s">
        <v>1107</v>
      </c>
      <c r="AK905" s="484" t="s">
        <v>1108</v>
      </c>
      <c r="AL905" s="221" t="s">
        <v>1109</v>
      </c>
      <c r="AM905" s="221" t="s">
        <v>1175</v>
      </c>
      <c r="AN905" s="221" t="s">
        <v>1176</v>
      </c>
      <c r="AO905" s="13"/>
      <c r="AP905" s="13"/>
    </row>
    <row r="906" spans="1:42" ht="15.75">
      <c r="A906" s="271"/>
      <c r="B906" s="1534" t="s">
        <v>231</v>
      </c>
      <c r="C906" s="1593" t="s">
        <v>190</v>
      </c>
      <c r="D906" s="1594">
        <v>123</v>
      </c>
      <c r="E906" s="1594">
        <v>10</v>
      </c>
      <c r="F906" s="1594">
        <v>170</v>
      </c>
      <c r="G906" s="1520">
        <v>116</v>
      </c>
      <c r="H906" s="504">
        <f t="shared" ref="H906:H911" si="443">G906*(1+$H$33)</f>
        <v>124.12</v>
      </c>
      <c r="I906" s="504">
        <f t="shared" ref="I906:I911" si="444">H906-H906*$J$833</f>
        <v>63.301200000000001</v>
      </c>
      <c r="J906" s="1536">
        <f t="shared" ref="J906:J911" si="445">G906-G906*$J$833</f>
        <v>59.160000000000004</v>
      </c>
      <c r="K906" s="1620">
        <v>136</v>
      </c>
      <c r="L906" s="1508">
        <v>114</v>
      </c>
      <c r="M906" s="1530">
        <f>L906/D906*100%</f>
        <v>0.92682926829268297</v>
      </c>
      <c r="N906" s="561">
        <f>K906-(K906*$O$33)</f>
        <v>68</v>
      </c>
      <c r="O906" s="1621">
        <f>((N906/J906)-1)*100%</f>
        <v>0.14942528735632177</v>
      </c>
      <c r="P906" s="1615">
        <f>((N906/I906)-1)*100%</f>
        <v>7.4229240519926964E-2</v>
      </c>
      <c r="Q906" s="1600">
        <v>1.5967845659163986</v>
      </c>
      <c r="R906" s="561">
        <f t="shared" ref="R906:R911" si="446">Q906*$R$33</f>
        <v>75.101568488745983</v>
      </c>
      <c r="S906" s="562">
        <f t="shared" ref="S906:S911" si="447">((J906-R906)/J906)*100%</f>
        <v>-0.26946532266304901</v>
      </c>
      <c r="T906" s="237">
        <f t="shared" ref="T906:T911" si="448">((I906-R906)/I906)*100%</f>
        <v>-0.18641618940471871</v>
      </c>
      <c r="U906" s="238">
        <v>1.18791</v>
      </c>
      <c r="V906" s="239">
        <f t="shared" ref="V906:V911" si="449">U906*$X$31</f>
        <v>1.425492</v>
      </c>
      <c r="W906" s="239">
        <f t="shared" ref="W906:W911" si="450">V906*$R$33</f>
        <v>67.045165236000003</v>
      </c>
      <c r="X906" s="240">
        <f>(ROUND(W906/(1-$AA$904),0))</f>
        <v>76</v>
      </c>
      <c r="Y906" s="239">
        <f t="shared" ref="Y906:Y911" si="451">Z906*(1-$X$33)</f>
        <v>72.930000000000007</v>
      </c>
      <c r="Z906" s="240">
        <f t="shared" ref="Z906:Z911" si="452">ROUND(X906/(1-$X$828),0)</f>
        <v>143</v>
      </c>
      <c r="AA906" s="241">
        <f t="shared" ref="AA906:AA911" si="453">((X906-W906)/X906)*100%</f>
        <v>0.11782677321052629</v>
      </c>
      <c r="AB906" s="241">
        <f t="shared" ref="AB906:AB911" si="454">((Y906-W906)/Y906)*100%</f>
        <v>8.0691550308515061E-2</v>
      </c>
      <c r="AC906" s="265">
        <f>((N906/Y906)-1)*100%</f>
        <v>-6.7599067599067642E-2</v>
      </c>
      <c r="AD906" s="243">
        <f>((N906*0.96-W906)/(N906*0.96))*100%</f>
        <v>-2.7039908639705904E-2</v>
      </c>
      <c r="AE906" s="238">
        <f t="shared" ref="AE906:AE911" si="455">N906/$R$33</f>
        <v>1.4457933791167903</v>
      </c>
      <c r="AF906" s="239">
        <f>(V906/(1-$AA$904))</f>
        <v>1.6198772727272728</v>
      </c>
      <c r="AG906" s="1868">
        <v>3.06</v>
      </c>
      <c r="AH906" s="244">
        <f t="shared" ref="AH906:AH911" si="456">((AF906-V906)/AF906)*100%</f>
        <v>0.12000000000000004</v>
      </c>
      <c r="AI906" s="77">
        <f t="shared" ref="AI906:AI911" si="457">AJ906/$AJ$912</f>
        <v>0.40590253946465338</v>
      </c>
      <c r="AJ906" s="333">
        <f>[1]Статистика!D319</f>
        <v>2957</v>
      </c>
      <c r="AK906" s="270">
        <f t="shared" ref="AK906:AK911" si="458">Q906*S906*AJ906</f>
        <v>-1272.3322478981613</v>
      </c>
      <c r="AL906" s="506">
        <f t="shared" ref="AL906:AL911" si="459">AK906/$AK$912</f>
        <v>0.40040610219012873</v>
      </c>
      <c r="AM906" s="77">
        <f t="shared" ref="AM906:AM911" si="460">AJ906/$AJ$1101</f>
        <v>3.973634525065343E-3</v>
      </c>
      <c r="AN906" s="77">
        <f t="shared" ref="AN906:AN911" si="461">AK906/$AK$1101</f>
        <v>1.668712717631805E-2</v>
      </c>
      <c r="AO906" s="13"/>
      <c r="AP906" s="13"/>
    </row>
    <row r="907" spans="1:42" ht="15.75">
      <c r="A907" s="187"/>
      <c r="B907" s="1534" t="s">
        <v>232</v>
      </c>
      <c r="C907" s="1566" t="s">
        <v>192</v>
      </c>
      <c r="D907" s="926">
        <v>190</v>
      </c>
      <c r="E907" s="926">
        <v>5</v>
      </c>
      <c r="F907" s="926">
        <v>100</v>
      </c>
      <c r="G907" s="433">
        <v>195</v>
      </c>
      <c r="H907" s="504">
        <f t="shared" si="443"/>
        <v>208.65</v>
      </c>
      <c r="I907" s="504">
        <f t="shared" si="444"/>
        <v>106.4115</v>
      </c>
      <c r="J907" s="1536">
        <f t="shared" si="445"/>
        <v>99.45</v>
      </c>
      <c r="K907" s="1622">
        <v>225</v>
      </c>
      <c r="L907" s="929">
        <v>193</v>
      </c>
      <c r="M907" s="495">
        <f>L907/D907*100%</f>
        <v>1.0157894736842106</v>
      </c>
      <c r="N907" s="496">
        <f>K907-(K907*$O$33)</f>
        <v>112.5</v>
      </c>
      <c r="O907" s="932">
        <f>((N907/J907)-1)*100%</f>
        <v>0.13122171945701355</v>
      </c>
      <c r="P907" s="1601">
        <f>((N907/I907)-1)*100%</f>
        <v>5.7216560240199499E-2</v>
      </c>
      <c r="Q907" s="1570">
        <v>2.4251851851851849</v>
      </c>
      <c r="R907" s="650">
        <f t="shared" si="446"/>
        <v>114.06373481481481</v>
      </c>
      <c r="S907" s="933">
        <f t="shared" si="447"/>
        <v>-0.14694554866581</v>
      </c>
      <c r="T907" s="260">
        <f t="shared" si="448"/>
        <v>-7.1911727725056065E-2</v>
      </c>
      <c r="U907" s="261">
        <v>1.8074749999999999</v>
      </c>
      <c r="V907" s="239">
        <f t="shared" si="449"/>
        <v>2.1689699999999998</v>
      </c>
      <c r="W907" s="262">
        <f t="shared" si="450"/>
        <v>102.01316600999999</v>
      </c>
      <c r="X907" s="240">
        <f>(ROUND(W907/(1-$AA$904),0))</f>
        <v>116</v>
      </c>
      <c r="Y907" s="239">
        <f t="shared" si="451"/>
        <v>111.69</v>
      </c>
      <c r="Z907" s="240">
        <f t="shared" si="452"/>
        <v>219</v>
      </c>
      <c r="AA907" s="264">
        <f t="shared" si="453"/>
        <v>0.12057615508620696</v>
      </c>
      <c r="AB907" s="241">
        <f t="shared" si="454"/>
        <v>8.6640110932044101E-2</v>
      </c>
      <c r="AC907" s="1198">
        <f>((N907/Y907)-1)*100%</f>
        <v>7.2522159548751297E-3</v>
      </c>
      <c r="AD907" s="266">
        <f>((N907*0.96-W907)/(N907*0.96))*100%</f>
        <v>5.5433648055555632E-2</v>
      </c>
      <c r="AE907" s="261">
        <f t="shared" si="455"/>
        <v>2.3919375757446897</v>
      </c>
      <c r="AF907" s="239">
        <f>(V907/(1-$AA$904))</f>
        <v>2.4647386363636361</v>
      </c>
      <c r="AG907" s="1868">
        <f>AF907/(1-$X$828)</f>
        <v>4.6504502572898794</v>
      </c>
      <c r="AH907" s="267">
        <f t="shared" si="456"/>
        <v>0.11999999999999997</v>
      </c>
      <c r="AI907" s="77">
        <f t="shared" si="457"/>
        <v>0.27426218256691831</v>
      </c>
      <c r="AJ907" s="333">
        <f>[1]Статистика!D320</f>
        <v>1998</v>
      </c>
      <c r="AK907" s="270">
        <f t="shared" si="458"/>
        <v>-712.02759497115562</v>
      </c>
      <c r="AL907" s="506">
        <f t="shared" si="459"/>
        <v>0.22407684347008064</v>
      </c>
      <c r="AM907" s="77">
        <f t="shared" si="460"/>
        <v>2.6849245116944724E-3</v>
      </c>
      <c r="AN907" s="77">
        <f t="shared" si="461"/>
        <v>9.3385159811516273E-3</v>
      </c>
      <c r="AO907" s="13"/>
      <c r="AP907" s="13"/>
    </row>
    <row r="908" spans="1:42" ht="15.75">
      <c r="A908" s="187"/>
      <c r="B908" s="1391" t="s">
        <v>233</v>
      </c>
      <c r="C908" s="251" t="s">
        <v>194</v>
      </c>
      <c r="D908" s="251">
        <v>342</v>
      </c>
      <c r="E908" s="251">
        <v>5</v>
      </c>
      <c r="F908" s="251">
        <v>50</v>
      </c>
      <c r="G908" s="433">
        <v>335</v>
      </c>
      <c r="H908" s="504">
        <f t="shared" si="443"/>
        <v>358.45000000000005</v>
      </c>
      <c r="I908" s="504">
        <f t="shared" si="444"/>
        <v>182.80950000000001</v>
      </c>
      <c r="J908" s="690">
        <f t="shared" si="445"/>
        <v>170.85</v>
      </c>
      <c r="K908" s="321">
        <v>423</v>
      </c>
      <c r="L908" s="322">
        <v>359</v>
      </c>
      <c r="M908" s="385">
        <f>L908/D908*100%</f>
        <v>1.0497076023391814</v>
      </c>
      <c r="N908" s="382">
        <f>K908-(K908*$O$33)</f>
        <v>211.5</v>
      </c>
      <c r="O908" s="329">
        <f>((N908/J908)-1)*100%</f>
        <v>0.23792800702370509</v>
      </c>
      <c r="P908" s="1601">
        <f>((N908/I908)-1)*100%</f>
        <v>0.15694206263897659</v>
      </c>
      <c r="Q908" s="273">
        <v>3.873663289166017</v>
      </c>
      <c r="R908" s="258">
        <f t="shared" si="446"/>
        <v>182.19000547934527</v>
      </c>
      <c r="S908" s="259">
        <f t="shared" si="447"/>
        <v>-6.6374044362571147E-2</v>
      </c>
      <c r="T908" s="260">
        <f t="shared" si="448"/>
        <v>3.3887435863822184E-3</v>
      </c>
      <c r="U908" s="261">
        <v>3.2534549999999998</v>
      </c>
      <c r="V908" s="239">
        <f t="shared" si="449"/>
        <v>3.9041459999999995</v>
      </c>
      <c r="W908" s="262">
        <f t="shared" si="450"/>
        <v>183.62369881799998</v>
      </c>
      <c r="X908" s="240">
        <f>(ROUND(W908/(1-$AA$904),0))</f>
        <v>209</v>
      </c>
      <c r="Y908" s="239">
        <f t="shared" si="451"/>
        <v>200.94</v>
      </c>
      <c r="Z908" s="240">
        <f t="shared" si="452"/>
        <v>394</v>
      </c>
      <c r="AA908" s="264">
        <f t="shared" si="453"/>
        <v>0.12141770900478478</v>
      </c>
      <c r="AB908" s="241">
        <f t="shared" si="454"/>
        <v>8.617647647058832E-2</v>
      </c>
      <c r="AC908" s="1198">
        <f>((N908/Y908)-1)*100%</f>
        <v>5.2553000895789737E-2</v>
      </c>
      <c r="AD908" s="266">
        <f>((N908*0.96-W908)/(N908*0.96))*100%</f>
        <v>9.5627960904255377E-2</v>
      </c>
      <c r="AE908" s="261">
        <f t="shared" si="455"/>
        <v>4.4968426424000167</v>
      </c>
      <c r="AF908" s="239">
        <f>(V908/(1-$AA$904))</f>
        <v>4.4365295454545448</v>
      </c>
      <c r="AG908" s="1868">
        <v>8.3699999999999992</v>
      </c>
      <c r="AH908" s="267">
        <f t="shared" si="456"/>
        <v>0.12</v>
      </c>
      <c r="AI908" s="92">
        <f t="shared" si="457"/>
        <v>0.22388469457789981</v>
      </c>
      <c r="AJ908" s="338">
        <f>[1]Статистика!D321</f>
        <v>1631</v>
      </c>
      <c r="AK908" s="297">
        <f t="shared" si="458"/>
        <v>-419.34755007025342</v>
      </c>
      <c r="AL908" s="866">
        <f t="shared" si="459"/>
        <v>0.13196971016335479</v>
      </c>
      <c r="AM908" s="92">
        <f t="shared" si="460"/>
        <v>2.1917476869738159E-3</v>
      </c>
      <c r="AN908" s="92">
        <f t="shared" si="461"/>
        <v>5.4999045341023404E-3</v>
      </c>
      <c r="AO908" s="13"/>
      <c r="AP908" s="13"/>
    </row>
    <row r="909" spans="1:42" ht="16.5" thickBot="1">
      <c r="A909" s="187"/>
      <c r="B909" s="1391" t="s">
        <v>701</v>
      </c>
      <c r="C909" s="1336" t="s">
        <v>1380</v>
      </c>
      <c r="D909" s="377">
        <v>560</v>
      </c>
      <c r="E909" s="377">
        <v>5</v>
      </c>
      <c r="F909" s="377">
        <v>30</v>
      </c>
      <c r="G909" s="1520">
        <v>570</v>
      </c>
      <c r="H909" s="504">
        <f t="shared" si="443"/>
        <v>609.90000000000009</v>
      </c>
      <c r="I909" s="504">
        <f t="shared" si="444"/>
        <v>311.04900000000004</v>
      </c>
      <c r="J909" s="690">
        <f t="shared" si="445"/>
        <v>290.7</v>
      </c>
      <c r="K909" s="340">
        <v>768</v>
      </c>
      <c r="L909" s="341">
        <v>557</v>
      </c>
      <c r="M909" s="896">
        <f>L909/D909*100%</f>
        <v>0.99464285714285716</v>
      </c>
      <c r="N909" s="390">
        <f>K909-(K909*$O$33)</f>
        <v>384</v>
      </c>
      <c r="O909" s="363">
        <f>((N909/J909)-1)*100%</f>
        <v>0.32094943240454077</v>
      </c>
      <c r="P909" s="1550">
        <f>((N909/I909)-1)*100%</f>
        <v>0.23453217981732766</v>
      </c>
      <c r="Q909" s="257">
        <v>6.4259010600706716</v>
      </c>
      <c r="R909" s="258">
        <f t="shared" si="446"/>
        <v>302.22940455830388</v>
      </c>
      <c r="S909" s="259">
        <f t="shared" si="447"/>
        <v>-3.9660834393890253E-2</v>
      </c>
      <c r="T909" s="260">
        <f t="shared" si="448"/>
        <v>2.8354360379541969E-2</v>
      </c>
      <c r="U909" s="261">
        <f>Q909/1.2</f>
        <v>5.354917550058893</v>
      </c>
      <c r="V909" s="239">
        <f t="shared" si="449"/>
        <v>6.4259010600706716</v>
      </c>
      <c r="W909" s="262">
        <f t="shared" si="450"/>
        <v>302.22940455830388</v>
      </c>
      <c r="X909" s="240">
        <f>(ROUND(W909/(1-$AB$904),0))</f>
        <v>387</v>
      </c>
      <c r="Y909" s="239">
        <f t="shared" si="451"/>
        <v>372.3</v>
      </c>
      <c r="Z909" s="240">
        <f t="shared" si="452"/>
        <v>730</v>
      </c>
      <c r="AA909" s="264">
        <f t="shared" si="453"/>
        <v>0.2190454662576127</v>
      </c>
      <c r="AB909" s="241">
        <f t="shared" si="454"/>
        <v>0.18821003341846931</v>
      </c>
      <c r="AC909" s="1198">
        <f>((N909/Y909)-1)*100%</f>
        <v>3.1426269137792007E-2</v>
      </c>
      <c r="AD909" s="266">
        <f>((N909*0.96-W909)/(N909*0.96))*100%</f>
        <v>0.18015026975286486</v>
      </c>
      <c r="AE909" s="261">
        <f t="shared" si="455"/>
        <v>8.1644802585418752</v>
      </c>
      <c r="AF909" s="239">
        <f>(V909/(1-$AB$904))</f>
        <v>8.238334692398297</v>
      </c>
      <c r="AG909" s="1868">
        <v>15.54</v>
      </c>
      <c r="AH909" s="267">
        <f t="shared" si="456"/>
        <v>0.22</v>
      </c>
      <c r="AI909" s="77">
        <f t="shared" si="457"/>
        <v>4.5298558682223745E-2</v>
      </c>
      <c r="AJ909" s="333">
        <f>[1]Статистика!D322</f>
        <v>330</v>
      </c>
      <c r="AK909" s="270">
        <f t="shared" si="458"/>
        <v>-84.102677265745612</v>
      </c>
      <c r="AL909" s="506">
        <f t="shared" si="459"/>
        <v>2.6467320342906966E-2</v>
      </c>
      <c r="AM909" s="77">
        <f t="shared" si="460"/>
        <v>4.4345600043001795E-4</v>
      </c>
      <c r="AN909" s="77">
        <f t="shared" si="461"/>
        <v>1.1030389850770032E-3</v>
      </c>
      <c r="AO909" s="13"/>
      <c r="AP909" s="13"/>
    </row>
    <row r="910" spans="1:42" ht="15.75" thickBot="1">
      <c r="A910" s="187"/>
      <c r="B910" s="1534" t="s">
        <v>545</v>
      </c>
      <c r="C910" s="1566" t="s">
        <v>303</v>
      </c>
      <c r="D910" s="926">
        <v>895</v>
      </c>
      <c r="E910" s="926">
        <v>5</v>
      </c>
      <c r="F910" s="926">
        <v>15</v>
      </c>
      <c r="G910" s="433">
        <v>790</v>
      </c>
      <c r="H910" s="504">
        <f t="shared" si="443"/>
        <v>845.30000000000007</v>
      </c>
      <c r="I910" s="504">
        <f t="shared" si="444"/>
        <v>431.10300000000007</v>
      </c>
      <c r="J910" s="1536">
        <f t="shared" si="445"/>
        <v>402.90000000000003</v>
      </c>
      <c r="K910" s="1623"/>
      <c r="L910" s="1624"/>
      <c r="M910" s="1625"/>
      <c r="N910" s="1626"/>
      <c r="O910" s="1627"/>
      <c r="P910" s="1627"/>
      <c r="Q910" s="1570">
        <v>10.25</v>
      </c>
      <c r="R910" s="650">
        <f t="shared" si="446"/>
        <v>482.08825000000002</v>
      </c>
      <c r="S910" s="933">
        <f t="shared" si="447"/>
        <v>-0.19654566890047151</v>
      </c>
      <c r="T910" s="260">
        <f t="shared" si="448"/>
        <v>-0.11826698028081443</v>
      </c>
      <c r="U910" s="261">
        <v>8.4020499999999991</v>
      </c>
      <c r="V910" s="239">
        <f t="shared" si="449"/>
        <v>10.082459999999999</v>
      </c>
      <c r="W910" s="262">
        <f t="shared" si="450"/>
        <v>474.20834117999999</v>
      </c>
      <c r="X910" s="240">
        <f>(ROUND(W910/(1-$AB$904),0))</f>
        <v>608</v>
      </c>
      <c r="Y910" s="239">
        <f t="shared" si="451"/>
        <v>584.97</v>
      </c>
      <c r="Z910" s="240">
        <f t="shared" si="452"/>
        <v>1147</v>
      </c>
      <c r="AA910" s="264">
        <f t="shared" si="453"/>
        <v>0.22005207042763159</v>
      </c>
      <c r="AB910" s="241">
        <f t="shared" si="454"/>
        <v>0.18934587896815228</v>
      </c>
      <c r="AC910" s="242"/>
      <c r="AD910" s="266"/>
      <c r="AE910" s="261">
        <f t="shared" si="455"/>
        <v>0</v>
      </c>
      <c r="AF910" s="239">
        <f>(V910/(1-$AB$904))</f>
        <v>12.926230769230768</v>
      </c>
      <c r="AG910" s="1868">
        <v>24.39</v>
      </c>
      <c r="AH910" s="267">
        <f t="shared" si="456"/>
        <v>0.22</v>
      </c>
      <c r="AI910" s="77">
        <f t="shared" si="457"/>
        <v>3.1708991077556627E-2</v>
      </c>
      <c r="AJ910" s="333">
        <f>[1]Статистика!D323</f>
        <v>231</v>
      </c>
      <c r="AK910" s="270">
        <f t="shared" si="458"/>
        <v>-465.37100753909141</v>
      </c>
      <c r="AL910" s="506">
        <f t="shared" si="459"/>
        <v>0.14645340594710385</v>
      </c>
      <c r="AM910" s="77">
        <f t="shared" si="460"/>
        <v>3.1041920030101258E-4</v>
      </c>
      <c r="AN910" s="77">
        <f t="shared" si="461"/>
        <v>6.1035198941194009E-3</v>
      </c>
      <c r="AO910" s="13"/>
      <c r="AP910" s="13"/>
    </row>
    <row r="911" spans="1:42" ht="19.5" thickBot="1">
      <c r="A911" s="187"/>
      <c r="B911" s="473" t="s">
        <v>1381</v>
      </c>
      <c r="C911" s="276" t="s">
        <v>700</v>
      </c>
      <c r="D911" s="276">
        <v>1670</v>
      </c>
      <c r="E911" s="276">
        <v>5</v>
      </c>
      <c r="F911" s="276">
        <v>15</v>
      </c>
      <c r="G911" s="916">
        <v>1630</v>
      </c>
      <c r="H911" s="867">
        <f t="shared" si="443"/>
        <v>1744.1000000000001</v>
      </c>
      <c r="I911" s="867">
        <f t="shared" si="444"/>
        <v>889.4910000000001</v>
      </c>
      <c r="J911" s="1323">
        <f t="shared" si="445"/>
        <v>831.30000000000007</v>
      </c>
      <c r="K911" s="533"/>
      <c r="P911" s="1607"/>
      <c r="Q911" s="257">
        <v>19.173932584269661</v>
      </c>
      <c r="R911" s="258">
        <f t="shared" si="446"/>
        <v>901.80757123595504</v>
      </c>
      <c r="S911" s="259">
        <f t="shared" si="447"/>
        <v>-8.4816036612480411E-2</v>
      </c>
      <c r="T911" s="287">
        <f t="shared" si="448"/>
        <v>-1.3846763189233998E-2</v>
      </c>
      <c r="U911" s="261">
        <f>Q911/1.2</f>
        <v>15.978277153558052</v>
      </c>
      <c r="V911" s="239">
        <f t="shared" si="449"/>
        <v>19.173932584269661</v>
      </c>
      <c r="W911" s="289">
        <f t="shared" si="450"/>
        <v>901.80757123595504</v>
      </c>
      <c r="X911" s="240">
        <f>(ROUND(W911/(1-$AB$904),0))</f>
        <v>1156</v>
      </c>
      <c r="Y911" s="291">
        <f t="shared" si="451"/>
        <v>1112.31</v>
      </c>
      <c r="Z911" s="240">
        <f t="shared" si="452"/>
        <v>2181</v>
      </c>
      <c r="AA911" s="292">
        <f t="shared" si="453"/>
        <v>0.21988964425955446</v>
      </c>
      <c r="AB911" s="241">
        <f t="shared" si="454"/>
        <v>0.18924798730933365</v>
      </c>
      <c r="AC911" s="345"/>
      <c r="AD911" s="294"/>
      <c r="AE911" s="288">
        <f t="shared" si="455"/>
        <v>0</v>
      </c>
      <c r="AF911" s="239">
        <f>(V911/(1-$AB$904))</f>
        <v>24.58196485162777</v>
      </c>
      <c r="AG911" s="1868">
        <v>46.38</v>
      </c>
      <c r="AH911" s="295">
        <f t="shared" si="456"/>
        <v>0.22</v>
      </c>
      <c r="AI911" s="77">
        <f t="shared" si="457"/>
        <v>1.8943033630748111E-2</v>
      </c>
      <c r="AJ911" s="333">
        <f>[1]Статистика!D324</f>
        <v>138</v>
      </c>
      <c r="AK911" s="270">
        <f t="shared" si="458"/>
        <v>-224.42346159402524</v>
      </c>
      <c r="AL911" s="506">
        <f t="shared" si="459"/>
        <v>7.0626617886425075E-2</v>
      </c>
      <c r="AM911" s="77">
        <f t="shared" si="460"/>
        <v>1.8544523654346205E-4</v>
      </c>
      <c r="AN911" s="77">
        <f t="shared" si="461"/>
        <v>2.9434000837089379E-3</v>
      </c>
      <c r="AO911" s="13"/>
      <c r="AP911" s="13"/>
    </row>
    <row r="912" spans="1:42">
      <c r="A912" s="187"/>
      <c r="B912" s="413"/>
      <c r="C912" s="414"/>
      <c r="D912" s="414"/>
      <c r="E912" s="414"/>
      <c r="F912" s="414"/>
      <c r="G912" s="827"/>
      <c r="H912" s="785"/>
      <c r="I912" s="785"/>
      <c r="J912" s="897"/>
      <c r="K912" s="533"/>
      <c r="S912" s="364"/>
      <c r="T912" s="364"/>
      <c r="U912" s="872"/>
      <c r="V912" s="872"/>
      <c r="W912" s="872"/>
      <c r="X912" s="872"/>
      <c r="Y912" s="872"/>
      <c r="Z912" s="872"/>
      <c r="AA912" s="364"/>
      <c r="AB912" s="364"/>
      <c r="AC912" s="364"/>
      <c r="AD912" s="364">
        <f>AVERAGE(AD906:AD909)</f>
        <v>7.6042992518242494E-2</v>
      </c>
      <c r="AE912" s="872"/>
      <c r="AF912" s="872"/>
      <c r="AG912" s="1882"/>
      <c r="AH912" s="364"/>
      <c r="AI912" s="512">
        <f>S906*AI906+S907*AI907+S908*AI908+S909*AI909+S910*AI910+S911*AI911</f>
        <v>-0.17417391484183839</v>
      </c>
      <c r="AJ912" s="513">
        <f>SUM(AJ906:AJ911)</f>
        <v>7285</v>
      </c>
      <c r="AK912" s="514">
        <f>SUM(AK906:AK911)</f>
        <v>-3177.6045393384325</v>
      </c>
      <c r="AM912" s="307">
        <f>SUM(AM906:AM911)</f>
        <v>9.7896271610081222E-3</v>
      </c>
      <c r="AN912" s="307">
        <f>SUM(AN906:AN911)</f>
        <v>4.1675506654477348E-2</v>
      </c>
      <c r="AO912" s="13"/>
      <c r="AP912" s="13"/>
    </row>
    <row r="913" spans="1:42">
      <c r="A913" s="149" t="s">
        <v>30</v>
      </c>
      <c r="C913" s="157" t="s">
        <v>539</v>
      </c>
      <c r="J913" s="532"/>
      <c r="K913" s="533"/>
      <c r="AO913" s="13"/>
      <c r="AP913" s="13"/>
    </row>
    <row r="914" spans="1:42" ht="15.75" thickBot="1">
      <c r="A914" s="187"/>
      <c r="B914" s="157"/>
      <c r="C914" s="148" t="s">
        <v>31</v>
      </c>
      <c r="J914" s="532"/>
      <c r="K914" s="2309" t="s">
        <v>1382</v>
      </c>
      <c r="L914" s="2309"/>
      <c r="M914" s="2309"/>
      <c r="N914" s="2309"/>
      <c r="O914" s="2309"/>
      <c r="P914" s="1852"/>
      <c r="T914" s="1851"/>
      <c r="U914" s="309"/>
      <c r="V914" s="309"/>
      <c r="W914" s="309"/>
      <c r="X914" s="309"/>
      <c r="Y914" s="309"/>
      <c r="Z914" s="309"/>
      <c r="AA914" s="346">
        <v>0.17</v>
      </c>
      <c r="AB914" s="628"/>
      <c r="AC914" s="628"/>
      <c r="AD914" s="585"/>
      <c r="AE914" s="188"/>
      <c r="AF914" s="188"/>
      <c r="AG914" s="1866"/>
      <c r="AH914" s="1851"/>
      <c r="AO914" s="13"/>
      <c r="AP914" s="13"/>
    </row>
    <row r="915" spans="1:42" ht="60.75" thickBot="1">
      <c r="A915" s="187"/>
      <c r="B915" s="369" t="s">
        <v>10</v>
      </c>
      <c r="C915" s="1334" t="s">
        <v>11</v>
      </c>
      <c r="D915" s="370" t="s">
        <v>12</v>
      </c>
      <c r="E915" s="370" t="s">
        <v>13</v>
      </c>
      <c r="F915" s="370" t="s">
        <v>14</v>
      </c>
      <c r="G915" s="371" t="s">
        <v>15</v>
      </c>
      <c r="H915" s="372" t="s">
        <v>1090</v>
      </c>
      <c r="I915" s="372">
        <f>$C$20</f>
        <v>0.49</v>
      </c>
      <c r="J915" s="684">
        <f>$C$20</f>
        <v>0.49</v>
      </c>
      <c r="K915" s="874" t="s">
        <v>15</v>
      </c>
      <c r="L915" s="315" t="s">
        <v>12</v>
      </c>
      <c r="M915" s="316" t="s">
        <v>1091</v>
      </c>
      <c r="N915" s="605" t="s">
        <v>993</v>
      </c>
      <c r="O915" s="1153" t="s">
        <v>1092</v>
      </c>
      <c r="P915" s="602" t="s">
        <v>1092</v>
      </c>
      <c r="Q915" s="200" t="s">
        <v>1093</v>
      </c>
      <c r="R915" s="201" t="s">
        <v>1094</v>
      </c>
      <c r="S915" s="350" t="s">
        <v>1095</v>
      </c>
      <c r="T915" s="203" t="s">
        <v>1095</v>
      </c>
      <c r="U915" s="204" t="s">
        <v>1096</v>
      </c>
      <c r="V915" s="205" t="s">
        <v>1093</v>
      </c>
      <c r="W915" s="206" t="s">
        <v>1094</v>
      </c>
      <c r="X915" s="207" t="s">
        <v>1097</v>
      </c>
      <c r="Y915" s="208">
        <f>$X$33</f>
        <v>0.49</v>
      </c>
      <c r="Z915" s="207" t="s">
        <v>1098</v>
      </c>
      <c r="AA915" s="209" t="s">
        <v>1099</v>
      </c>
      <c r="AB915" s="209" t="s">
        <v>1100</v>
      </c>
      <c r="AC915" s="210" t="s">
        <v>1092</v>
      </c>
      <c r="AD915" s="211" t="s">
        <v>1101</v>
      </c>
      <c r="AE915" s="212" t="s">
        <v>1102</v>
      </c>
      <c r="AF915" s="208" t="s">
        <v>1103</v>
      </c>
      <c r="AG915" s="1867" t="s">
        <v>1104</v>
      </c>
      <c r="AH915" s="213" t="s">
        <v>1105</v>
      </c>
      <c r="AI915" s="220" t="s">
        <v>1106</v>
      </c>
      <c r="AJ915" s="483" t="s">
        <v>1107</v>
      </c>
      <c r="AK915" s="484" t="s">
        <v>1108</v>
      </c>
      <c r="AL915" s="221" t="s">
        <v>1109</v>
      </c>
      <c r="AM915" s="221" t="s">
        <v>1175</v>
      </c>
      <c r="AN915" s="221" t="s">
        <v>1176</v>
      </c>
      <c r="AO915" s="13"/>
      <c r="AP915" s="13"/>
    </row>
    <row r="916" spans="1:42" ht="15.75">
      <c r="A916" s="271"/>
      <c r="B916" s="1391" t="s">
        <v>234</v>
      </c>
      <c r="C916" s="1336" t="s">
        <v>190</v>
      </c>
      <c r="D916" s="377">
        <v>115</v>
      </c>
      <c r="E916" s="377">
        <v>10</v>
      </c>
      <c r="F916" s="377">
        <v>220</v>
      </c>
      <c r="G916" s="689">
        <v>104</v>
      </c>
      <c r="H916" s="504">
        <f>G916*(1+$H$33)</f>
        <v>111.28</v>
      </c>
      <c r="I916" s="504">
        <f>H916-H916*$J$833</f>
        <v>56.752800000000001</v>
      </c>
      <c r="J916" s="690">
        <f>G916-G916*$J$833</f>
        <v>53.04</v>
      </c>
      <c r="K916" s="807">
        <v>156</v>
      </c>
      <c r="L916" s="808">
        <v>104</v>
      </c>
      <c r="M916" s="1119">
        <f>L916/D916*100%</f>
        <v>0.90434782608695652</v>
      </c>
      <c r="N916" s="235">
        <f>K916-(K916*$O$33)</f>
        <v>78</v>
      </c>
      <c r="O916" s="1295">
        <f>((N916/J916)-1)*100%</f>
        <v>0.47058823529411775</v>
      </c>
      <c r="P916" s="1547">
        <f>((N916/I916)-1)*100%</f>
        <v>0.37438152831225957</v>
      </c>
      <c r="Q916" s="234">
        <v>1.2935470941883767</v>
      </c>
      <c r="R916" s="235">
        <f>Q916*$R$33</f>
        <v>60.83940048096192</v>
      </c>
      <c r="S916" s="236">
        <f>((J916-R916)/J916)*100%</f>
        <v>-0.14704752038012672</v>
      </c>
      <c r="T916" s="237">
        <f>((I916-R916)/I916)*100%</f>
        <v>-7.2007028392641767E-2</v>
      </c>
      <c r="U916" s="238">
        <v>1.0844849999999999</v>
      </c>
      <c r="V916" s="239">
        <f>U916*$X$31</f>
        <v>1.3013819999999998</v>
      </c>
      <c r="W916" s="239">
        <f>V916*$R$33</f>
        <v>61.207899605999991</v>
      </c>
      <c r="X916" s="240">
        <f>(ROUND(W916/(1-$AA$914),0))</f>
        <v>74</v>
      </c>
      <c r="Y916" s="239">
        <f>Z916*(1-$X$33)</f>
        <v>71.400000000000006</v>
      </c>
      <c r="Z916" s="240">
        <f>ROUND(X916/(1-$X$828),0)</f>
        <v>140</v>
      </c>
      <c r="AA916" s="241">
        <f>((X916-W916)/X916)*100%</f>
        <v>0.17286622154054065</v>
      </c>
      <c r="AB916" s="241">
        <f>((Y916-W916)/Y916)*100%</f>
        <v>0.14274650411764725</v>
      </c>
      <c r="AC916" s="1198">
        <f>((N916/Y916)-1)*100%</f>
        <v>9.243697478991586E-2</v>
      </c>
      <c r="AD916" s="243">
        <f>((N916*0.96-W916)/(N916*0.96))*100%</f>
        <v>0.18258681081730777</v>
      </c>
      <c r="AE916" s="238">
        <f>N916/$R$33</f>
        <v>1.6584100525163183</v>
      </c>
      <c r="AF916" s="239">
        <f>(V916/(1-$AA$914))</f>
        <v>1.5679301204819276</v>
      </c>
      <c r="AG916" s="1868">
        <v>2.96</v>
      </c>
      <c r="AH916" s="244">
        <f>((AF916-V916)/AF916)*100%</f>
        <v>0.17000000000000004</v>
      </c>
      <c r="AI916" s="77">
        <f>AJ916/$AJ$919</f>
        <v>0.38675958188153309</v>
      </c>
      <c r="AJ916" s="333">
        <f>[1]Статистика!D367</f>
        <v>1665</v>
      </c>
      <c r="AK916" s="270">
        <f>Q916*S916*AJ916</f>
        <v>-316.70446633770615</v>
      </c>
      <c r="AL916" s="506">
        <f>AK916/$AK$919</f>
        <v>0.19879184312352169</v>
      </c>
      <c r="AM916" s="77">
        <f>AJ916/$AJ$1101</f>
        <v>2.2374370930787267E-3</v>
      </c>
      <c r="AN916" s="77">
        <f>AK916/$AK$1101</f>
        <v>4.1537009816544779E-3</v>
      </c>
      <c r="AO916" s="13"/>
      <c r="AP916" s="13"/>
    </row>
    <row r="917" spans="1:42" ht="15.75">
      <c r="A917" s="187"/>
      <c r="B917" s="1391" t="s">
        <v>235</v>
      </c>
      <c r="C917" s="1628" t="s">
        <v>192</v>
      </c>
      <c r="D917" s="251">
        <v>205</v>
      </c>
      <c r="E917" s="251">
        <v>10</v>
      </c>
      <c r="F917" s="251">
        <v>140</v>
      </c>
      <c r="G917" s="328">
        <v>186</v>
      </c>
      <c r="H917" s="504">
        <f>G917*(1+$H$33)</f>
        <v>199.02</v>
      </c>
      <c r="I917" s="504">
        <f>H917-H917*$J$833</f>
        <v>101.50020000000001</v>
      </c>
      <c r="J917" s="690">
        <f>G917-G917*$J$833</f>
        <v>94.86</v>
      </c>
      <c r="K917" s="254">
        <v>283</v>
      </c>
      <c r="L917" s="322">
        <v>193</v>
      </c>
      <c r="M917" s="385">
        <f>L917/D917*100%</f>
        <v>0.94146341463414629</v>
      </c>
      <c r="N917" s="382">
        <f>K917-(K917*$O$33)</f>
        <v>141.5</v>
      </c>
      <c r="O917" s="329">
        <f>((N917/J917)-1)*100%</f>
        <v>0.49167193759224115</v>
      </c>
      <c r="P917" s="1601">
        <f>((N917/I917)-1)*100%</f>
        <v>0.39408592298340284</v>
      </c>
      <c r="Q917" s="257">
        <v>2.3573480662983428</v>
      </c>
      <c r="R917" s="258">
        <f>Q917*$R$33</f>
        <v>110.87315160220996</v>
      </c>
      <c r="S917" s="259">
        <f>((J917-R917)/J917)*100%</f>
        <v>-0.16880826061785748</v>
      </c>
      <c r="T917" s="260">
        <f>((I917-R917)/I917)*100%</f>
        <v>-9.2344168801735876E-2</v>
      </c>
      <c r="U917" s="261">
        <v>1.9512850000000002</v>
      </c>
      <c r="V917" s="239">
        <f>U917*$X$31</f>
        <v>2.341542</v>
      </c>
      <c r="W917" s="262">
        <f>V917*$R$33</f>
        <v>110.129744886</v>
      </c>
      <c r="X917" s="240">
        <f>(ROUND(W917/(1-$AA$914),0))</f>
        <v>133</v>
      </c>
      <c r="Y917" s="239">
        <f>Z917*(1-$X$33)</f>
        <v>128.01</v>
      </c>
      <c r="Z917" s="240">
        <f>ROUND(X917/(1-$X$828),0)</f>
        <v>251</v>
      </c>
      <c r="AA917" s="264">
        <f>((X917-W917)/X917)*100%</f>
        <v>0.17195680536842106</v>
      </c>
      <c r="AB917" s="241">
        <f>((Y917-W917)/Y917)*100%</f>
        <v>0.13967858068900862</v>
      </c>
      <c r="AC917" s="1198">
        <f>((N917/Y917)-1)*100%</f>
        <v>0.10538239200062494</v>
      </c>
      <c r="AD917" s="266">
        <f>((N917*0.96-W917)/(N917*0.96))*100%</f>
        <v>0.18926866250000005</v>
      </c>
      <c r="AE917" s="261">
        <f>N917/$R$33</f>
        <v>3.008525928603321</v>
      </c>
      <c r="AF917" s="239">
        <f>(V917/(1-$AA$914))</f>
        <v>2.8211349397590362</v>
      </c>
      <c r="AG917" s="1868">
        <v>5.32</v>
      </c>
      <c r="AH917" s="267">
        <f>((AF917-V917)/AF917)*100%</f>
        <v>0.17</v>
      </c>
      <c r="AI917" s="92">
        <f>AJ917/$AJ$919</f>
        <v>0.33124274099883855</v>
      </c>
      <c r="AJ917" s="338">
        <f>[1]Статистика!D368</f>
        <v>1426</v>
      </c>
      <c r="AK917" s="297">
        <f>Q917*S917*AJ917</f>
        <v>-567.46219293508022</v>
      </c>
      <c r="AL917" s="866">
        <f>AK917/$AK$919</f>
        <v>0.35618965700405575</v>
      </c>
      <c r="AM917" s="92">
        <f>AJ917/$AJ$1101</f>
        <v>1.9162674442824411E-3</v>
      </c>
      <c r="AN917" s="92">
        <f>AK917/$AK$1101</f>
        <v>7.4424850874470223E-3</v>
      </c>
      <c r="AO917" s="13"/>
      <c r="AP917" s="13"/>
    </row>
    <row r="918" spans="1:42" ht="16.5" thickBot="1">
      <c r="A918" s="187"/>
      <c r="B918" s="401" t="s">
        <v>236</v>
      </c>
      <c r="C918" s="1629" t="s">
        <v>194</v>
      </c>
      <c r="D918" s="403">
        <v>290</v>
      </c>
      <c r="E918" s="403">
        <v>8</v>
      </c>
      <c r="F918" s="403">
        <v>80</v>
      </c>
      <c r="G918" s="916">
        <v>274</v>
      </c>
      <c r="H918" s="711">
        <f>G918*(1+$H$33)</f>
        <v>293.18</v>
      </c>
      <c r="I918" s="711">
        <f>H918-H918*$J$833</f>
        <v>149.52180000000001</v>
      </c>
      <c r="J918" s="1536">
        <f>G918-G918*$J$833</f>
        <v>139.74</v>
      </c>
      <c r="K918" s="1617">
        <v>371</v>
      </c>
      <c r="L918" s="406">
        <v>279</v>
      </c>
      <c r="M918" s="1015">
        <f>L918/D918*100%</f>
        <v>0.96206896551724141</v>
      </c>
      <c r="N918" s="408">
        <f>K918-(K918*$O$33)</f>
        <v>185.5</v>
      </c>
      <c r="O918" s="409">
        <f>((N918/J918)-1)*100%</f>
        <v>0.32746529268641744</v>
      </c>
      <c r="P918" s="1550">
        <f>((N918/I918)-1)*100%</f>
        <v>0.24062176886581077</v>
      </c>
      <c r="Q918" s="1573">
        <v>3.4710000000000001</v>
      </c>
      <c r="R918" s="650">
        <f>Q918*$R$33</f>
        <v>163.251543</v>
      </c>
      <c r="S918" s="933">
        <f>((J918-R918)/J918)*100%</f>
        <v>-0.16825206097037346</v>
      </c>
      <c r="T918" s="260">
        <f>((I918-R918)/I918)*100%</f>
        <v>-9.1824356047077976E-2</v>
      </c>
      <c r="U918" s="261">
        <v>2.758985</v>
      </c>
      <c r="V918" s="239">
        <f>U918*$X$31</f>
        <v>3.3107820000000001</v>
      </c>
      <c r="W918" s="262">
        <f>V918*$R$33</f>
        <v>155.71600980600002</v>
      </c>
      <c r="X918" s="240">
        <f>(ROUND(W918/(1-$AA$914),0))</f>
        <v>188</v>
      </c>
      <c r="Y918" s="239">
        <f>Z918*(1-$X$33)</f>
        <v>181.05</v>
      </c>
      <c r="Z918" s="240">
        <f>ROUND(X918/(1-$X$828),0)</f>
        <v>355</v>
      </c>
      <c r="AA918" s="264">
        <f>((X918-W918)/X918)*100%</f>
        <v>0.1717233520957446</v>
      </c>
      <c r="AB918" s="241">
        <f>((Y918-W918)/Y918)*100%</f>
        <v>0.1399281424689312</v>
      </c>
      <c r="AC918" s="1198">
        <f>((N918/Y918)-1)*100%</f>
        <v>2.4578845622756029E-2</v>
      </c>
      <c r="AD918" s="266">
        <f>((N918*0.96-W918)/(N918*0.96))*100%</f>
        <v>0.12558395212264134</v>
      </c>
      <c r="AE918" s="261">
        <f>N918/$R$33</f>
        <v>3.9440392915612441</v>
      </c>
      <c r="AF918" s="239">
        <f>(V918/(1-$AA$914))</f>
        <v>3.9888939759036148</v>
      </c>
      <c r="AG918" s="1868">
        <v>7.53</v>
      </c>
      <c r="AH918" s="267">
        <f>((AF918-V918)/AF918)*100%</f>
        <v>0.17000000000000004</v>
      </c>
      <c r="AI918" s="77">
        <f>AJ918/$AJ$919</f>
        <v>0.28199767711962836</v>
      </c>
      <c r="AJ918" s="333">
        <f>[1]Статистика!D369</f>
        <v>1214</v>
      </c>
      <c r="AK918" s="270">
        <f>Q918*S918*AJ918</f>
        <v>-708.97952500459394</v>
      </c>
      <c r="AL918" s="506">
        <f>AK918/$AK$919</f>
        <v>0.44501849987242265</v>
      </c>
      <c r="AM918" s="77">
        <f>AJ918/$AJ$1101</f>
        <v>1.6313805591577023E-3</v>
      </c>
      <c r="AN918" s="77">
        <f>AK918/$AK$1101</f>
        <v>9.2985393702794631E-3</v>
      </c>
      <c r="AO918" s="13"/>
      <c r="AP918" s="13"/>
    </row>
    <row r="919" spans="1:42" ht="15.75" thickBot="1">
      <c r="A919" s="149" t="s">
        <v>32</v>
      </c>
      <c r="C919" s="157" t="s">
        <v>33</v>
      </c>
      <c r="J919" s="532"/>
      <c r="K919" s="533"/>
      <c r="P919" s="886"/>
      <c r="Q919" s="1091"/>
      <c r="R919" s="1092"/>
      <c r="S919" s="364"/>
      <c r="T919" s="364"/>
      <c r="U919" s="872"/>
      <c r="V919" s="872"/>
      <c r="W919" s="872"/>
      <c r="X919" s="872"/>
      <c r="Y919" s="872"/>
      <c r="Z919" s="872"/>
      <c r="AA919" s="364"/>
      <c r="AB919" s="364"/>
      <c r="AC919" s="364"/>
      <c r="AD919" s="364">
        <f>AVERAGE(AD916:AD918)</f>
        <v>0.16581314181331638</v>
      </c>
      <c r="AE919" s="872"/>
      <c r="AF919" s="872"/>
      <c r="AG919" s="1882"/>
      <c r="AH919" s="364"/>
      <c r="AI919" s="512">
        <f>S916*AI916+S917*AI917+S918*AI918</f>
        <v>-0.16023523881347482</v>
      </c>
      <c r="AJ919" s="513">
        <f>SUM(AJ916:AJ918)</f>
        <v>4305</v>
      </c>
      <c r="AK919" s="514">
        <f>SUM(AK916:AK918)</f>
        <v>-1593.1461842773801</v>
      </c>
      <c r="AM919" s="307">
        <f>SUM(AM916:AM918)</f>
        <v>5.7850850965188699E-3</v>
      </c>
      <c r="AN919" s="307">
        <f>SUM(AN916:AN918)</f>
        <v>2.0894725439380965E-2</v>
      </c>
      <c r="AO919" s="13"/>
      <c r="AP919" s="13"/>
    </row>
    <row r="920" spans="1:42" ht="15.75" thickBot="1">
      <c r="A920" s="187"/>
      <c r="B920" s="157"/>
      <c r="C920" s="148" t="s">
        <v>25</v>
      </c>
      <c r="J920" s="532"/>
      <c r="K920" s="2309" t="s">
        <v>1383</v>
      </c>
      <c r="L920" s="2309"/>
      <c r="M920" s="2309"/>
      <c r="N920" s="2309"/>
      <c r="O920" s="2309"/>
      <c r="P920" s="1852"/>
      <c r="T920" s="1851"/>
      <c r="U920" s="309"/>
      <c r="V920" s="309"/>
      <c r="W920" s="309"/>
      <c r="X920" s="309"/>
      <c r="Y920" s="309"/>
      <c r="Z920" s="309"/>
      <c r="AA920" s="346">
        <v>0.11</v>
      </c>
      <c r="AB920" s="628">
        <v>0.08</v>
      </c>
      <c r="AC920" s="628"/>
      <c r="AD920" s="585"/>
      <c r="AE920" s="188"/>
      <c r="AF920" s="188"/>
      <c r="AG920" s="1866"/>
      <c r="AH920" s="1851"/>
      <c r="AO920" s="13"/>
      <c r="AP920" s="13"/>
    </row>
    <row r="921" spans="1:42" ht="60.75" thickBot="1">
      <c r="A921" s="187"/>
      <c r="B921" s="369" t="s">
        <v>10</v>
      </c>
      <c r="C921" s="1334" t="s">
        <v>11</v>
      </c>
      <c r="D921" s="370" t="s">
        <v>12</v>
      </c>
      <c r="E921" s="370" t="s">
        <v>13</v>
      </c>
      <c r="F921" s="370" t="s">
        <v>14</v>
      </c>
      <c r="G921" s="371" t="s">
        <v>15</v>
      </c>
      <c r="H921" s="372" t="s">
        <v>1090</v>
      </c>
      <c r="I921" s="372">
        <f>$C$20</f>
        <v>0.49</v>
      </c>
      <c r="J921" s="684">
        <f>$C$20</f>
        <v>0.49</v>
      </c>
      <c r="K921" s="601" t="s">
        <v>15</v>
      </c>
      <c r="L921" s="315" t="s">
        <v>12</v>
      </c>
      <c r="M921" s="316" t="s">
        <v>1091</v>
      </c>
      <c r="N921" s="605" t="s">
        <v>993</v>
      </c>
      <c r="O921" s="317" t="s">
        <v>1092</v>
      </c>
      <c r="P921" s="602" t="s">
        <v>1092</v>
      </c>
      <c r="Q921" s="200" t="s">
        <v>1093</v>
      </c>
      <c r="R921" s="201" t="s">
        <v>1094</v>
      </c>
      <c r="S921" s="350" t="s">
        <v>1095</v>
      </c>
      <c r="T921" s="203" t="s">
        <v>1095</v>
      </c>
      <c r="U921" s="204" t="s">
        <v>1096</v>
      </c>
      <c r="V921" s="205" t="s">
        <v>1093</v>
      </c>
      <c r="W921" s="206" t="s">
        <v>1094</v>
      </c>
      <c r="X921" s="207" t="s">
        <v>1097</v>
      </c>
      <c r="Y921" s="208">
        <f>$X$33</f>
        <v>0.49</v>
      </c>
      <c r="Z921" s="207" t="s">
        <v>1098</v>
      </c>
      <c r="AA921" s="209" t="s">
        <v>1099</v>
      </c>
      <c r="AB921" s="209" t="s">
        <v>1100</v>
      </c>
      <c r="AC921" s="210" t="s">
        <v>1092</v>
      </c>
      <c r="AD921" s="211" t="s">
        <v>1101</v>
      </c>
      <c r="AE921" s="212" t="s">
        <v>1102</v>
      </c>
      <c r="AF921" s="208" t="s">
        <v>1103</v>
      </c>
      <c r="AG921" s="1867" t="s">
        <v>1104</v>
      </c>
      <c r="AH921" s="213" t="s">
        <v>1105</v>
      </c>
      <c r="AI921" s="220" t="s">
        <v>1106</v>
      </c>
      <c r="AJ921" s="483" t="s">
        <v>1107</v>
      </c>
      <c r="AK921" s="484" t="s">
        <v>1108</v>
      </c>
      <c r="AL921" s="221" t="s">
        <v>1109</v>
      </c>
      <c r="AM921" s="221" t="s">
        <v>1175</v>
      </c>
      <c r="AN921" s="221" t="s">
        <v>1176</v>
      </c>
      <c r="AO921" s="13"/>
      <c r="AP921" s="13"/>
    </row>
    <row r="922" spans="1:42" ht="15.75">
      <c r="A922" s="271"/>
      <c r="B922" s="1630" t="s">
        <v>237</v>
      </c>
      <c r="C922" s="1594" t="s">
        <v>190</v>
      </c>
      <c r="D922" s="1594">
        <v>96</v>
      </c>
      <c r="E922" s="1594">
        <v>10</v>
      </c>
      <c r="F922" s="1594">
        <v>220</v>
      </c>
      <c r="G922" s="1520">
        <v>90</v>
      </c>
      <c r="H922" s="504">
        <f t="shared" ref="H922:H927" si="462">G922*(1+$H$33)</f>
        <v>96.300000000000011</v>
      </c>
      <c r="I922" s="504">
        <f t="shared" ref="I922:I927" si="463">H922-H922*$J$833</f>
        <v>49.113000000000007</v>
      </c>
      <c r="J922" s="1514">
        <f t="shared" ref="J922:J927" si="464">G922-G922*$J$833</f>
        <v>45.9</v>
      </c>
      <c r="K922" s="1620">
        <v>101</v>
      </c>
      <c r="L922" s="1508">
        <v>93</v>
      </c>
      <c r="M922" s="1530">
        <f t="shared" ref="M922:M927" si="465">L922/D922*100%</f>
        <v>0.96875</v>
      </c>
      <c r="N922" s="561">
        <f t="shared" ref="N922:N927" si="466">K922-(K922*$O$33)</f>
        <v>50.5</v>
      </c>
      <c r="O922" s="1621">
        <f t="shared" ref="O922:O927" si="467">((N922/J922)-1)*100%</f>
        <v>0.10021786492374729</v>
      </c>
      <c r="P922" s="1615">
        <f t="shared" ref="P922:P927" si="468">((N922/I922)-1)*100%</f>
        <v>2.8240995255838452E-2</v>
      </c>
      <c r="Q922" s="1600">
        <v>1.25</v>
      </c>
      <c r="R922" s="561">
        <f t="shared" ref="R922:R927" si="469">Q922*$R$33</f>
        <v>58.791250000000005</v>
      </c>
      <c r="S922" s="562">
        <f t="shared" ref="S922:S927" si="470">((J922-R922)/J922)*100%</f>
        <v>-0.28085511982570821</v>
      </c>
      <c r="T922" s="237">
        <f t="shared" ref="T922:T927" si="471">((I922-R922)/I922)*100%</f>
        <v>-0.1970608596501944</v>
      </c>
      <c r="U922" s="238">
        <v>0.90226000000000006</v>
      </c>
      <c r="V922" s="239">
        <f t="shared" ref="V922:V927" si="472">U922*$X$31</f>
        <v>1.0827120000000001</v>
      </c>
      <c r="W922" s="239">
        <f t="shared" ref="W922:W927" si="473">V922*$R$33</f>
        <v>50.92319349600001</v>
      </c>
      <c r="X922" s="240">
        <f>(ROUND(W922/(1-$AA$920),0))</f>
        <v>57</v>
      </c>
      <c r="Y922" s="239">
        <f t="shared" ref="Y922:Y927" si="474">Z922*(1-$X$33)</f>
        <v>55.08</v>
      </c>
      <c r="Z922" s="240">
        <f t="shared" ref="Z922:Z927" si="475">ROUND(X922/(1-$X$828),0)</f>
        <v>108</v>
      </c>
      <c r="AA922" s="241">
        <f t="shared" ref="AA922:AA927" si="476">((X922-W922)/X922)*100%</f>
        <v>0.10661064042105245</v>
      </c>
      <c r="AB922" s="241">
        <f t="shared" ref="AB922:AB927" si="477">((Y922-W922)/Y922)*100%</f>
        <v>7.5468527668845098E-2</v>
      </c>
      <c r="AC922" s="265">
        <f t="shared" ref="AC922:AC927" si="478">((N922/Y922)-1)*100%</f>
        <v>-8.3151779230210554E-2</v>
      </c>
      <c r="AD922" s="243">
        <f t="shared" ref="AD922:AD927" si="479">((N922*0.96-W922)/(N922*0.96))*100%</f>
        <v>-5.0395905445544835E-2</v>
      </c>
      <c r="AE922" s="238">
        <f t="shared" ref="AE922:AE927" si="480">N922/$R$33</f>
        <v>1.0737142006676164</v>
      </c>
      <c r="AF922" s="239">
        <f>(V922/(1-$AA$920))</f>
        <v>1.2165303370786518</v>
      </c>
      <c r="AG922" s="1868">
        <v>2.2999999999999998</v>
      </c>
      <c r="AH922" s="244">
        <f t="shared" ref="AH922:AH927" si="481">((AF922-V922)/AF922)*100%</f>
        <v>0.10999999999999996</v>
      </c>
      <c r="AI922" s="1374">
        <f t="shared" ref="AI922:AI927" si="482">AJ922/$AJ$928</f>
        <v>0.40795976190999145</v>
      </c>
      <c r="AJ922" s="333">
        <f>[1]Статистика!D331</f>
        <v>18574</v>
      </c>
      <c r="AK922" s="270">
        <f t="shared" ref="AK922:AK927" si="483">Q922*S922*AJ922</f>
        <v>-6520.7537445533808</v>
      </c>
      <c r="AL922" s="506">
        <f t="shared" ref="AL922:AL927" si="484">AK922/$AK$928</f>
        <v>0.36762838988613139</v>
      </c>
      <c r="AM922" s="77">
        <f t="shared" ref="AM922:AM927" si="485">AJ922/$AJ$1101</f>
        <v>2.4959853793900463E-2</v>
      </c>
      <c r="AN922" s="77">
        <f t="shared" ref="AN922:AN927" si="486">AK922/$AK$1101</f>
        <v>8.552219532324852E-2</v>
      </c>
      <c r="AO922" s="13"/>
      <c r="AP922" s="13"/>
    </row>
    <row r="923" spans="1:42" ht="15.75">
      <c r="A923" s="187"/>
      <c r="B923" s="250" t="s">
        <v>238</v>
      </c>
      <c r="C923" s="251" t="s">
        <v>192</v>
      </c>
      <c r="D923" s="251">
        <v>160</v>
      </c>
      <c r="E923" s="251">
        <v>10</v>
      </c>
      <c r="F923" s="251">
        <v>140</v>
      </c>
      <c r="G923" s="433">
        <v>134</v>
      </c>
      <c r="H923" s="357">
        <f t="shared" si="462"/>
        <v>143.38</v>
      </c>
      <c r="I923" s="357">
        <f t="shared" si="463"/>
        <v>73.123800000000003</v>
      </c>
      <c r="J923" s="883">
        <f t="shared" si="464"/>
        <v>68.34</v>
      </c>
      <c r="K923" s="321">
        <v>156</v>
      </c>
      <c r="L923" s="322">
        <v>141</v>
      </c>
      <c r="M923" s="385">
        <f t="shared" si="465"/>
        <v>0.88124999999999998</v>
      </c>
      <c r="N923" s="382">
        <f t="shared" si="466"/>
        <v>78</v>
      </c>
      <c r="O923" s="1631">
        <f t="shared" si="467"/>
        <v>0.14135206321334493</v>
      </c>
      <c r="P923" s="1572">
        <f t="shared" si="468"/>
        <v>6.6684171227425315E-2</v>
      </c>
      <c r="Q923" s="257">
        <v>1.73</v>
      </c>
      <c r="R923" s="258">
        <f t="shared" si="469"/>
        <v>81.367090000000005</v>
      </c>
      <c r="S923" s="259">
        <f t="shared" si="470"/>
        <v>-0.19062174422007611</v>
      </c>
      <c r="T923" s="260">
        <f t="shared" si="471"/>
        <v>-0.11273060207483748</v>
      </c>
      <c r="U923" s="261">
        <v>1.456815</v>
      </c>
      <c r="V923" s="239">
        <f t="shared" si="472"/>
        <v>1.748178</v>
      </c>
      <c r="W923" s="262">
        <f t="shared" si="473"/>
        <v>82.222055874000006</v>
      </c>
      <c r="X923" s="240">
        <f>(ROUND(W923/(1-$AA$920),0))</f>
        <v>92</v>
      </c>
      <c r="Y923" s="239">
        <f t="shared" si="474"/>
        <v>88.74</v>
      </c>
      <c r="Z923" s="240">
        <f t="shared" si="475"/>
        <v>174</v>
      </c>
      <c r="AA923" s="264">
        <f t="shared" si="476"/>
        <v>0.10628200136956516</v>
      </c>
      <c r="AB923" s="241">
        <f t="shared" si="477"/>
        <v>7.3449899999999888E-2</v>
      </c>
      <c r="AC923" s="265">
        <f t="shared" si="478"/>
        <v>-0.1210277214334009</v>
      </c>
      <c r="AD923" s="266">
        <f t="shared" si="479"/>
        <v>-9.8050959855769379E-2</v>
      </c>
      <c r="AE923" s="261">
        <f t="shared" si="480"/>
        <v>1.6584100525163183</v>
      </c>
      <c r="AF923" s="239">
        <f>(V923/(1-$AA$920))</f>
        <v>1.9642449438202247</v>
      </c>
      <c r="AG923" s="1868">
        <v>3.71</v>
      </c>
      <c r="AH923" s="267">
        <f t="shared" si="481"/>
        <v>0.11</v>
      </c>
      <c r="AI923" s="1372">
        <f t="shared" si="482"/>
        <v>0.32884535131454679</v>
      </c>
      <c r="AJ923" s="338">
        <f>[1]Статистика!D332</f>
        <v>14972</v>
      </c>
      <c r="AK923" s="297">
        <f t="shared" si="483"/>
        <v>-4937.400545220954</v>
      </c>
      <c r="AL923" s="866">
        <f t="shared" si="484"/>
        <v>0.27836177898584458</v>
      </c>
      <c r="AM923" s="92">
        <f t="shared" si="485"/>
        <v>2.0119464358903723E-2</v>
      </c>
      <c r="AN923" s="92">
        <f t="shared" si="486"/>
        <v>6.4755908650928728E-2</v>
      </c>
      <c r="AO923" s="13"/>
      <c r="AP923" s="13"/>
    </row>
    <row r="924" spans="1:42" ht="15.75">
      <c r="A924" s="187"/>
      <c r="B924" s="250" t="s">
        <v>239</v>
      </c>
      <c r="C924" s="251" t="s">
        <v>194</v>
      </c>
      <c r="D924" s="251">
        <v>270</v>
      </c>
      <c r="E924" s="251">
        <v>8</v>
      </c>
      <c r="F924" s="251">
        <v>80</v>
      </c>
      <c r="G924" s="433">
        <v>254</v>
      </c>
      <c r="H924" s="357">
        <f t="shared" si="462"/>
        <v>271.78000000000003</v>
      </c>
      <c r="I924" s="357">
        <f t="shared" si="463"/>
        <v>138.60780000000003</v>
      </c>
      <c r="J924" s="883">
        <f t="shared" si="464"/>
        <v>129.54000000000002</v>
      </c>
      <c r="K924" s="321">
        <v>306</v>
      </c>
      <c r="L924" s="322">
        <v>277</v>
      </c>
      <c r="M924" s="385">
        <f t="shared" si="465"/>
        <v>1.0259259259259259</v>
      </c>
      <c r="N924" s="382">
        <f t="shared" si="466"/>
        <v>153</v>
      </c>
      <c r="O924" s="324">
        <f t="shared" si="467"/>
        <v>0.18110236220472431</v>
      </c>
      <c r="P924" s="1572">
        <f t="shared" si="468"/>
        <v>0.10383398336890104</v>
      </c>
      <c r="Q924" s="273">
        <v>3.08</v>
      </c>
      <c r="R924" s="258">
        <f t="shared" si="469"/>
        <v>144.86163999999999</v>
      </c>
      <c r="S924" s="259">
        <f t="shared" si="470"/>
        <v>-0.11827728886830301</v>
      </c>
      <c r="T924" s="260">
        <f t="shared" si="471"/>
        <v>-4.5118961559161661E-2</v>
      </c>
      <c r="U924" s="261">
        <v>2.5885799999999999</v>
      </c>
      <c r="V924" s="239">
        <f t="shared" si="472"/>
        <v>3.1062959999999999</v>
      </c>
      <c r="W924" s="262">
        <f t="shared" si="473"/>
        <v>146.09841976800001</v>
      </c>
      <c r="X924" s="240">
        <f>(ROUND(W924/(1-$AB$920),0))</f>
        <v>159</v>
      </c>
      <c r="Y924" s="239">
        <f t="shared" si="474"/>
        <v>153</v>
      </c>
      <c r="Z924" s="240">
        <f t="shared" si="475"/>
        <v>300</v>
      </c>
      <c r="AA924" s="264">
        <f t="shared" si="476"/>
        <v>8.1142014037735757E-2</v>
      </c>
      <c r="AB924" s="241">
        <f t="shared" si="477"/>
        <v>4.5108367529411678E-2</v>
      </c>
      <c r="AC924" s="1198">
        <f t="shared" si="478"/>
        <v>0</v>
      </c>
      <c r="AD924" s="266">
        <f t="shared" si="479"/>
        <v>5.3212161764704651E-3</v>
      </c>
      <c r="AE924" s="261">
        <f t="shared" si="480"/>
        <v>3.253035103012778</v>
      </c>
      <c r="AF924" s="239">
        <f>(V924/(1-$AB$920))</f>
        <v>3.3764086956521737</v>
      </c>
      <c r="AG924" s="1868">
        <v>6.37</v>
      </c>
      <c r="AH924" s="267">
        <f t="shared" si="481"/>
        <v>7.999999999999996E-2</v>
      </c>
      <c r="AI924" s="1374">
        <f t="shared" si="482"/>
        <v>0.17610753585626743</v>
      </c>
      <c r="AJ924" s="333">
        <f>[1]Статистика!D333</f>
        <v>8018</v>
      </c>
      <c r="AK924" s="270">
        <f t="shared" si="483"/>
        <v>-2920.9096906098453</v>
      </c>
      <c r="AL924" s="506">
        <f t="shared" si="484"/>
        <v>0.16467564466126652</v>
      </c>
      <c r="AM924" s="77">
        <f t="shared" si="485"/>
        <v>1.0774637004387527E-2</v>
      </c>
      <c r="AN924" s="77">
        <f t="shared" si="486"/>
        <v>3.8308854906621545E-2</v>
      </c>
      <c r="AO924" s="13"/>
      <c r="AP924" s="13"/>
    </row>
    <row r="925" spans="1:42" ht="15.75">
      <c r="A925" s="187"/>
      <c r="B925" s="250" t="s">
        <v>240</v>
      </c>
      <c r="C925" s="251" t="s">
        <v>209</v>
      </c>
      <c r="D925" s="251">
        <v>384</v>
      </c>
      <c r="E925" s="251">
        <v>5</v>
      </c>
      <c r="F925" s="251">
        <v>50</v>
      </c>
      <c r="G925" s="433">
        <v>398</v>
      </c>
      <c r="H925" s="357">
        <f t="shared" si="462"/>
        <v>425.86</v>
      </c>
      <c r="I925" s="357">
        <f t="shared" si="463"/>
        <v>217.18860000000001</v>
      </c>
      <c r="J925" s="883">
        <f t="shared" si="464"/>
        <v>202.98</v>
      </c>
      <c r="K925" s="321">
        <v>465</v>
      </c>
      <c r="L925" s="322">
        <v>424</v>
      </c>
      <c r="M925" s="385">
        <f t="shared" si="465"/>
        <v>1.1041666666666667</v>
      </c>
      <c r="N925" s="382">
        <f t="shared" si="466"/>
        <v>232.5</v>
      </c>
      <c r="O925" s="324">
        <f t="shared" si="467"/>
        <v>0.14543304759089581</v>
      </c>
      <c r="P925" s="1569">
        <f t="shared" si="468"/>
        <v>7.0498175318594036E-2</v>
      </c>
      <c r="Q925" s="257">
        <v>4.92</v>
      </c>
      <c r="R925" s="258">
        <f t="shared" si="469"/>
        <v>231.40236000000002</v>
      </c>
      <c r="S925" s="259">
        <f t="shared" si="470"/>
        <v>-0.14002542122376602</v>
      </c>
      <c r="T925" s="260">
        <f t="shared" si="471"/>
        <v>-6.5444318900715823E-2</v>
      </c>
      <c r="U925" s="261">
        <v>3.9685649999999999</v>
      </c>
      <c r="V925" s="239">
        <f t="shared" si="472"/>
        <v>4.7622779999999993</v>
      </c>
      <c r="W925" s="262">
        <f t="shared" si="473"/>
        <v>223.98422117399997</v>
      </c>
      <c r="X925" s="240">
        <f>(ROUND(W925/(1-$AB$920),0))</f>
        <v>243</v>
      </c>
      <c r="Y925" s="239">
        <f t="shared" si="474"/>
        <v>233.58</v>
      </c>
      <c r="Z925" s="240">
        <f t="shared" si="475"/>
        <v>458</v>
      </c>
      <c r="AA925" s="264">
        <f t="shared" si="476"/>
        <v>7.825423385185197E-2</v>
      </c>
      <c r="AB925" s="241">
        <f t="shared" si="477"/>
        <v>4.1081337554585332E-2</v>
      </c>
      <c r="AC925" s="1198">
        <f t="shared" si="478"/>
        <v>-4.6236835345492278E-3</v>
      </c>
      <c r="AD925" s="266">
        <f t="shared" si="479"/>
        <v>-3.5135357258063672E-3</v>
      </c>
      <c r="AE925" s="261">
        <f t="shared" si="480"/>
        <v>4.9433376565390255</v>
      </c>
      <c r="AF925" s="239">
        <f>(V925/(1-$AB$920))</f>
        <v>5.1763891304347815</v>
      </c>
      <c r="AG925" s="1868">
        <v>9.77</v>
      </c>
      <c r="AH925" s="267">
        <f t="shared" si="481"/>
        <v>7.9999999999999932E-2</v>
      </c>
      <c r="AI925" s="1374">
        <f t="shared" si="482"/>
        <v>1.816424696347383E-2</v>
      </c>
      <c r="AJ925" s="333">
        <f>[1]Статистика!D334</f>
        <v>827</v>
      </c>
      <c r="AK925" s="270">
        <f t="shared" si="483"/>
        <v>-569.74103489210813</v>
      </c>
      <c r="AL925" s="506">
        <f t="shared" si="484"/>
        <v>3.212097673285004E-2</v>
      </c>
      <c r="AM925" s="77">
        <f t="shared" si="485"/>
        <v>1.1113276131988631E-3</v>
      </c>
      <c r="AN925" s="77">
        <f t="shared" si="486"/>
        <v>7.4723729768835069E-3</v>
      </c>
      <c r="AO925" s="13"/>
      <c r="AP925" s="13"/>
    </row>
    <row r="926" spans="1:42" ht="15.75">
      <c r="A926" s="187"/>
      <c r="B926" s="250" t="s">
        <v>1384</v>
      </c>
      <c r="C926" s="251" t="s">
        <v>303</v>
      </c>
      <c r="D926" s="251">
        <v>619</v>
      </c>
      <c r="E926" s="251">
        <v>5</v>
      </c>
      <c r="F926" s="251">
        <v>20</v>
      </c>
      <c r="G926" s="433">
        <v>618</v>
      </c>
      <c r="H926" s="357">
        <f t="shared" si="462"/>
        <v>661.26</v>
      </c>
      <c r="I926" s="357">
        <f t="shared" si="463"/>
        <v>337.24259999999998</v>
      </c>
      <c r="J926" s="883">
        <f t="shared" si="464"/>
        <v>315.18</v>
      </c>
      <c r="K926" s="321">
        <v>712</v>
      </c>
      <c r="L926" s="322">
        <v>619</v>
      </c>
      <c r="M926" s="385">
        <f t="shared" si="465"/>
        <v>1</v>
      </c>
      <c r="N926" s="382">
        <f t="shared" si="466"/>
        <v>356</v>
      </c>
      <c r="O926" s="324">
        <f t="shared" si="467"/>
        <v>0.12951329399073552</v>
      </c>
      <c r="P926" s="1572">
        <f t="shared" si="468"/>
        <v>5.5619900925921062E-2</v>
      </c>
      <c r="Q926" s="257">
        <v>7.08</v>
      </c>
      <c r="R926" s="258">
        <f t="shared" si="469"/>
        <v>332.99364000000003</v>
      </c>
      <c r="S926" s="259">
        <f t="shared" si="470"/>
        <v>-5.6518941557205472E-2</v>
      </c>
      <c r="T926" s="260">
        <f t="shared" si="471"/>
        <v>1.2599120039994811E-2</v>
      </c>
      <c r="U926" s="261">
        <f>Q926/1.2</f>
        <v>5.9</v>
      </c>
      <c r="V926" s="239">
        <f t="shared" si="472"/>
        <v>7.08</v>
      </c>
      <c r="W926" s="262">
        <f t="shared" si="473"/>
        <v>332.99364000000003</v>
      </c>
      <c r="X926" s="240">
        <f>(ROUND(W926/(1-$AA$920),0))</f>
        <v>374</v>
      </c>
      <c r="Y926" s="239">
        <f t="shared" si="474"/>
        <v>360.06</v>
      </c>
      <c r="Z926" s="240">
        <f t="shared" si="475"/>
        <v>706</v>
      </c>
      <c r="AA926" s="264">
        <f t="shared" si="476"/>
        <v>0.10964267379679137</v>
      </c>
      <c r="AB926" s="241">
        <f t="shared" si="477"/>
        <v>7.5171804699216721E-2</v>
      </c>
      <c r="AC926" s="1198">
        <f t="shared" si="478"/>
        <v>-1.1275898461367562E-2</v>
      </c>
      <c r="AD926" s="266">
        <f t="shared" si="479"/>
        <v>2.5650632022471802E-2</v>
      </c>
      <c r="AE926" s="261">
        <f t="shared" si="480"/>
        <v>7.569153573023196</v>
      </c>
      <c r="AF926" s="239">
        <f>(V926/(1-$AA$920))</f>
        <v>7.9550561797752808</v>
      </c>
      <c r="AG926" s="1868">
        <v>15.01</v>
      </c>
      <c r="AH926" s="267">
        <f t="shared" si="481"/>
        <v>0.10999999999999997</v>
      </c>
      <c r="AI926" s="1374">
        <f t="shared" si="482"/>
        <v>7.9290122778888188E-3</v>
      </c>
      <c r="AJ926" s="333">
        <f>[1]Статистика!D335</f>
        <v>361</v>
      </c>
      <c r="AK926" s="270">
        <f t="shared" si="483"/>
        <v>-144.45563234723033</v>
      </c>
      <c r="AL926" s="506">
        <f t="shared" si="484"/>
        <v>8.1441492211162449E-3</v>
      </c>
      <c r="AM926" s="77">
        <f t="shared" si="485"/>
        <v>4.8511398834920143E-4</v>
      </c>
      <c r="AN926" s="77">
        <f t="shared" si="486"/>
        <v>1.8945912219829383E-3</v>
      </c>
      <c r="AO926" s="13"/>
      <c r="AP926" s="13"/>
    </row>
    <row r="927" spans="1:42" ht="16.5" thickBot="1">
      <c r="A927" s="187"/>
      <c r="B927" s="250" t="s">
        <v>1385</v>
      </c>
      <c r="C927" s="251" t="s">
        <v>305</v>
      </c>
      <c r="D927" s="251">
        <v>1326</v>
      </c>
      <c r="E927" s="251">
        <v>5</v>
      </c>
      <c r="F927" s="251">
        <v>15</v>
      </c>
      <c r="G927" s="433">
        <v>1298</v>
      </c>
      <c r="H927" s="357">
        <f t="shared" si="462"/>
        <v>1388.8600000000001</v>
      </c>
      <c r="I927" s="357">
        <f t="shared" si="463"/>
        <v>708.31860000000006</v>
      </c>
      <c r="J927" s="883">
        <f t="shared" si="464"/>
        <v>661.98</v>
      </c>
      <c r="K927" s="340">
        <v>1566</v>
      </c>
      <c r="L927" s="341">
        <v>1326</v>
      </c>
      <c r="M927" s="896">
        <f t="shared" si="465"/>
        <v>1</v>
      </c>
      <c r="N927" s="390">
        <f t="shared" si="466"/>
        <v>783</v>
      </c>
      <c r="O927" s="901">
        <f t="shared" si="467"/>
        <v>0.18281519079126252</v>
      </c>
      <c r="P927" s="1632">
        <f t="shared" si="468"/>
        <v>0.10543475774884348</v>
      </c>
      <c r="Q927" s="284">
        <v>14.97</v>
      </c>
      <c r="R927" s="285">
        <f t="shared" si="469"/>
        <v>704.08401000000003</v>
      </c>
      <c r="S927" s="286">
        <f t="shared" si="470"/>
        <v>-6.3603145110124201E-2</v>
      </c>
      <c r="T927" s="287">
        <f t="shared" si="471"/>
        <v>5.9783690559587523E-3</v>
      </c>
      <c r="U927" s="261">
        <f>Q927/1.2</f>
        <v>12.475000000000001</v>
      </c>
      <c r="V927" s="239">
        <f t="shared" si="472"/>
        <v>14.97</v>
      </c>
      <c r="W927" s="289">
        <f t="shared" si="473"/>
        <v>704.08401000000003</v>
      </c>
      <c r="X927" s="240">
        <f>(ROUND(W927/(1-$AA$920),0))</f>
        <v>791</v>
      </c>
      <c r="Y927" s="291">
        <f t="shared" si="474"/>
        <v>760.92</v>
      </c>
      <c r="Z927" s="240">
        <f t="shared" si="475"/>
        <v>1492</v>
      </c>
      <c r="AA927" s="292">
        <f t="shared" si="476"/>
        <v>0.10988115044247783</v>
      </c>
      <c r="AB927" s="241">
        <f t="shared" si="477"/>
        <v>7.4693778583819495E-2</v>
      </c>
      <c r="AC927" s="345">
        <f t="shared" si="478"/>
        <v>2.901750512537471E-2</v>
      </c>
      <c r="AD927" s="294">
        <f t="shared" si="479"/>
        <v>6.3319484355044586E-2</v>
      </c>
      <c r="AE927" s="288">
        <f t="shared" si="480"/>
        <v>16.647885527183043</v>
      </c>
      <c r="AF927" s="239">
        <f>(V927/(1-$AA$920))</f>
        <v>16.820224719101123</v>
      </c>
      <c r="AG927" s="1868">
        <v>31.74</v>
      </c>
      <c r="AH927" s="295">
        <f t="shared" si="481"/>
        <v>0.10999999999999995</v>
      </c>
      <c r="AI927" s="1374">
        <f t="shared" si="482"/>
        <v>6.0994091677831715E-2</v>
      </c>
      <c r="AJ927" s="333">
        <f>[1]Статистика!D336</f>
        <v>2777</v>
      </c>
      <c r="AK927" s="270">
        <f t="shared" si="483"/>
        <v>-2644.0902315430994</v>
      </c>
      <c r="AL927" s="506">
        <f t="shared" si="484"/>
        <v>0.14906906051279126</v>
      </c>
      <c r="AM927" s="77">
        <f t="shared" si="485"/>
        <v>3.7317494339216962E-3</v>
      </c>
      <c r="AN927" s="77">
        <f t="shared" si="486"/>
        <v>3.4678261147831513E-2</v>
      </c>
      <c r="AO927" s="13"/>
      <c r="AP927" s="13"/>
    </row>
    <row r="928" spans="1:42" ht="15.75" thickBot="1">
      <c r="J928" s="532"/>
      <c r="K928" s="533"/>
      <c r="P928" s="1123"/>
      <c r="Q928" s="1091"/>
      <c r="R928" s="1092"/>
      <c r="S928" s="364"/>
      <c r="T928" s="364"/>
      <c r="U928" s="872"/>
      <c r="V928" s="872"/>
      <c r="W928" s="872"/>
      <c r="X928" s="872"/>
      <c r="Y928" s="872"/>
      <c r="Z928" s="872"/>
      <c r="AA928" s="364"/>
      <c r="AB928" s="364"/>
      <c r="AC928" s="364"/>
      <c r="AD928" s="364">
        <f>AVERAGE(AD922:AD927)</f>
        <v>-9.6115114121889528E-3</v>
      </c>
      <c r="AE928" s="872"/>
      <c r="AF928" s="872"/>
      <c r="AG928" s="1882"/>
      <c r="AH928" s="364"/>
      <c r="AI928" s="512">
        <f>S922*AI922+S923*AI923+S924*AI924+S925*AI925+S926*AI926+S927*AI927</f>
        <v>-0.20496319592955606</v>
      </c>
      <c r="AJ928" s="513">
        <f>SUM(AJ922:AJ927)</f>
        <v>45529</v>
      </c>
      <c r="AK928" s="514">
        <f>SUM(AK922:AK927)</f>
        <v>-17737.350879166617</v>
      </c>
      <c r="AM928" s="307">
        <f>SUM(AM922:AM927)</f>
        <v>6.1182146192661477E-2</v>
      </c>
      <c r="AN928" s="307">
        <f>SUM(AN922:AN927)</f>
        <v>0.23263218422749674</v>
      </c>
      <c r="AO928" s="13"/>
      <c r="AP928" s="13"/>
    </row>
    <row r="929" spans="1:42">
      <c r="A929" s="149" t="s">
        <v>731</v>
      </c>
      <c r="C929" s="157" t="s">
        <v>729</v>
      </c>
      <c r="J929" s="532"/>
      <c r="K929" s="533"/>
      <c r="AO929" s="13"/>
      <c r="AP929" s="13"/>
    </row>
    <row r="930" spans="1:42" ht="15.75" thickBot="1">
      <c r="C930" s="148" t="s">
        <v>730</v>
      </c>
      <c r="J930" s="532"/>
      <c r="K930" s="2309" t="s">
        <v>1386</v>
      </c>
      <c r="L930" s="2309"/>
      <c r="M930" s="2309"/>
      <c r="N930" s="2309"/>
      <c r="O930" s="2309"/>
      <c r="P930" s="1852"/>
      <c r="T930" s="1851"/>
      <c r="U930" s="309"/>
      <c r="V930" s="309"/>
      <c r="W930" s="309"/>
      <c r="X930" s="309"/>
      <c r="Y930" s="309"/>
      <c r="Z930" s="309"/>
      <c r="AA930" s="346">
        <v>0.14000000000000001</v>
      </c>
      <c r="AB930" s="628">
        <v>0.08</v>
      </c>
      <c r="AC930" s="628"/>
      <c r="AD930" s="585"/>
      <c r="AE930" s="188"/>
      <c r="AF930" s="188"/>
      <c r="AG930" s="1866"/>
      <c r="AH930" s="1851"/>
      <c r="AO930" s="13"/>
      <c r="AP930" s="13"/>
    </row>
    <row r="931" spans="1:42" ht="60.75" thickBot="1">
      <c r="B931" s="369" t="s">
        <v>10</v>
      </c>
      <c r="C931" s="1334" t="s">
        <v>11</v>
      </c>
      <c r="D931" s="370" t="s">
        <v>12</v>
      </c>
      <c r="E931" s="370" t="s">
        <v>13</v>
      </c>
      <c r="F931" s="370" t="s">
        <v>14</v>
      </c>
      <c r="G931" s="1082" t="s">
        <v>15</v>
      </c>
      <c r="H931" s="1083" t="s">
        <v>1090</v>
      </c>
      <c r="I931" s="372">
        <f>$C$20</f>
        <v>0.49</v>
      </c>
      <c r="J931" s="684">
        <f>$C$20</f>
        <v>0.49</v>
      </c>
      <c r="K931" s="601" t="s">
        <v>15</v>
      </c>
      <c r="L931" s="315" t="s">
        <v>12</v>
      </c>
      <c r="M931" s="316" t="s">
        <v>1091</v>
      </c>
      <c r="N931" s="605" t="s">
        <v>993</v>
      </c>
      <c r="O931" s="317" t="s">
        <v>1092</v>
      </c>
      <c r="P931" s="602" t="s">
        <v>1092</v>
      </c>
      <c r="Q931" s="200" t="s">
        <v>1093</v>
      </c>
      <c r="R931" s="201" t="s">
        <v>1094</v>
      </c>
      <c r="S931" s="350" t="s">
        <v>1095</v>
      </c>
      <c r="T931" s="203" t="s">
        <v>1095</v>
      </c>
      <c r="U931" s="204" t="s">
        <v>1096</v>
      </c>
      <c r="V931" s="205" t="s">
        <v>1093</v>
      </c>
      <c r="W931" s="206" t="s">
        <v>1094</v>
      </c>
      <c r="X931" s="207" t="s">
        <v>1097</v>
      </c>
      <c r="Y931" s="208">
        <f>$X$33</f>
        <v>0.49</v>
      </c>
      <c r="Z931" s="207" t="s">
        <v>1098</v>
      </c>
      <c r="AA931" s="209" t="s">
        <v>1099</v>
      </c>
      <c r="AB931" s="209" t="s">
        <v>1100</v>
      </c>
      <c r="AC931" s="210" t="s">
        <v>1092</v>
      </c>
      <c r="AD931" s="211" t="s">
        <v>1101</v>
      </c>
      <c r="AE931" s="212" t="s">
        <v>1102</v>
      </c>
      <c r="AF931" s="208" t="s">
        <v>1103</v>
      </c>
      <c r="AG931" s="1867" t="s">
        <v>1104</v>
      </c>
      <c r="AH931" s="213" t="s">
        <v>1105</v>
      </c>
      <c r="AI931" s="1221" t="s">
        <v>1106</v>
      </c>
      <c r="AJ931" s="483" t="s">
        <v>1107</v>
      </c>
      <c r="AK931" s="484" t="s">
        <v>1108</v>
      </c>
      <c r="AL931" s="221" t="s">
        <v>1109</v>
      </c>
      <c r="AM931" s="221" t="s">
        <v>1175</v>
      </c>
      <c r="AN931" s="221" t="s">
        <v>1176</v>
      </c>
      <c r="AO931" s="13"/>
      <c r="AP931" s="13"/>
    </row>
    <row r="932" spans="1:42" ht="15.75">
      <c r="B932" s="1633" t="s">
        <v>1387</v>
      </c>
      <c r="C932" s="1634" t="s">
        <v>190</v>
      </c>
      <c r="D932" s="1635">
        <v>87</v>
      </c>
      <c r="E932" s="1635">
        <v>10</v>
      </c>
      <c r="F932" s="1635">
        <v>200</v>
      </c>
      <c r="G932" s="1636">
        <v>80</v>
      </c>
      <c r="H932" s="1637">
        <f>G932*(1+$H$33)</f>
        <v>85.600000000000009</v>
      </c>
      <c r="I932" s="357">
        <f>H932-H932*$J$833</f>
        <v>43.656000000000006</v>
      </c>
      <c r="J932" s="927">
        <f>G932-G932*$J$833</f>
        <v>40.799999999999997</v>
      </c>
      <c r="K932" s="1620">
        <v>108</v>
      </c>
      <c r="L932" s="1508">
        <v>87</v>
      </c>
      <c r="M932" s="1530">
        <f>L932/D932*100%</f>
        <v>1</v>
      </c>
      <c r="N932" s="561">
        <f>K932-(K932*$O$33)</f>
        <v>54</v>
      </c>
      <c r="O932" s="1638">
        <f>((N932/J932)-1)*100%</f>
        <v>0.32352941176470607</v>
      </c>
      <c r="P932" s="1547">
        <f>((N932/I932)-1)*100%</f>
        <v>0.23694337548103328</v>
      </c>
      <c r="Q932" s="1600">
        <v>1.0138431975403535</v>
      </c>
      <c r="R932" s="561">
        <f>Q932*$R$33</f>
        <v>47.684087109915446</v>
      </c>
      <c r="S932" s="562">
        <f>((J932-R932)/J932)*100%</f>
        <v>-0.1687276252430257</v>
      </c>
      <c r="T932" s="237">
        <f>((I932-R932)/I932)*100%</f>
        <v>-9.2268808638341554E-2</v>
      </c>
      <c r="U932" s="238">
        <v>0.83626499999999993</v>
      </c>
      <c r="V932" s="239">
        <f>U932*$X$31</f>
        <v>1.0035179999999999</v>
      </c>
      <c r="W932" s="239">
        <f>V932*$R$33</f>
        <v>47.198462094</v>
      </c>
      <c r="X932" s="240">
        <f>(ROUND(W932/(1-$AA$930),0))</f>
        <v>55</v>
      </c>
      <c r="Y932" s="239">
        <f>Z932*(1-$X$33)</f>
        <v>53.04</v>
      </c>
      <c r="Z932" s="240">
        <f>ROUND(X932/(1-$X$828),0)</f>
        <v>104</v>
      </c>
      <c r="AA932" s="241">
        <f>((X932-W932)/X932)*100%</f>
        <v>0.14184614374545454</v>
      </c>
      <c r="AB932" s="241">
        <f>((Y932-W932)/Y932)*100%</f>
        <v>0.11013457590497737</v>
      </c>
      <c r="AC932" s="242">
        <f>((N932/Y932)-1)*100%</f>
        <v>1.8099547511312153E-2</v>
      </c>
      <c r="AD932" s="243">
        <f>((N932*0.96-W932)/(N932*0.96))*100%</f>
        <v>8.9535839236111053E-2</v>
      </c>
      <c r="AE932" s="238">
        <f>N932/$R$33</f>
        <v>1.1481300363574511</v>
      </c>
      <c r="AF932" s="239">
        <f>(V932/(1-$AA$930))</f>
        <v>1.1668813953488371</v>
      </c>
      <c r="AG932" s="1868">
        <v>2.2000000000000002</v>
      </c>
      <c r="AH932" s="244">
        <f>((AF932-V932)/AF932)*100%</f>
        <v>0.13999999999999996</v>
      </c>
      <c r="AI932" s="1374">
        <f>AJ932/$AJ$934</f>
        <v>0.5817515817515817</v>
      </c>
      <c r="AJ932" s="333">
        <f>[1]Статистика!D357</f>
        <v>1747</v>
      </c>
      <c r="AK932" s="270">
        <f>Q932*S932*AJ932</f>
        <v>-298.84768134184503</v>
      </c>
      <c r="AL932" s="506">
        <f>AK932/$AK$934</f>
        <v>0.46682745002439952</v>
      </c>
      <c r="AM932" s="77">
        <f>AJ932/$AJ$1101</f>
        <v>2.3476291901552769E-3</v>
      </c>
      <c r="AN932" s="77">
        <f>AK932/$AK$1101</f>
        <v>3.9195023730140459E-3</v>
      </c>
      <c r="AO932" s="13"/>
      <c r="AP932" s="13"/>
    </row>
    <row r="933" spans="1:42" ht="16.5" thickBot="1">
      <c r="B933" s="1603" t="s">
        <v>1388</v>
      </c>
      <c r="C933" s="403" t="s">
        <v>192</v>
      </c>
      <c r="D933" s="403">
        <v>141</v>
      </c>
      <c r="E933" s="403">
        <v>10</v>
      </c>
      <c r="F933" s="403">
        <v>100</v>
      </c>
      <c r="G933" s="1639">
        <v>130</v>
      </c>
      <c r="H933" s="1640">
        <f>G933*(1+$H$33)</f>
        <v>139.1</v>
      </c>
      <c r="I933" s="867">
        <f>H933-H933*$J$833</f>
        <v>70.941000000000003</v>
      </c>
      <c r="J933" s="1641">
        <f>G933-G933*$J$833</f>
        <v>66.300000000000011</v>
      </c>
      <c r="K933" s="1642">
        <v>158</v>
      </c>
      <c r="L933" s="406">
        <v>141</v>
      </c>
      <c r="M933" s="1015">
        <f>L933/D933*100%</f>
        <v>1</v>
      </c>
      <c r="N933" s="408">
        <f>K933-(K933*$O$33)</f>
        <v>79</v>
      </c>
      <c r="O933" s="409">
        <f>((N933/J933)-1)*100%</f>
        <v>0.19155354449472073</v>
      </c>
      <c r="P933" s="1643">
        <f>((N933/I933)-1)*100%</f>
        <v>0.11360144345301015</v>
      </c>
      <c r="Q933" s="1605">
        <v>1.6428280542986422</v>
      </c>
      <c r="R933" s="493">
        <f>Q933*$R$33</f>
        <v>77.267131877828035</v>
      </c>
      <c r="S933" s="1606">
        <f>((J933-R933)/J933)*100%</f>
        <v>-0.16541677040464589</v>
      </c>
      <c r="T933" s="260">
        <f>((I933-R933)/I933)*100%</f>
        <v>-8.9174551780043021E-2</v>
      </c>
      <c r="U933" s="261">
        <v>1.3563449999999999</v>
      </c>
      <c r="V933" s="239">
        <f>U933*$X$31</f>
        <v>1.6276139999999999</v>
      </c>
      <c r="W933" s="262">
        <f>V933*$R$33</f>
        <v>76.551569262000001</v>
      </c>
      <c r="X933" s="240">
        <f>(ROUND(W933/(1-$AB$930),0))</f>
        <v>83</v>
      </c>
      <c r="Y933" s="239">
        <f>Z933*(1-$X$33)</f>
        <v>80.070000000000007</v>
      </c>
      <c r="Z933" s="240">
        <f>ROUND(X933/(1-$X$828),0)</f>
        <v>157</v>
      </c>
      <c r="AA933" s="264">
        <f>((X933-W933)/X933)*100%</f>
        <v>7.7691936602409625E-2</v>
      </c>
      <c r="AB933" s="241">
        <f>((Y933-W933)/Y933)*100%</f>
        <v>4.3941935031847207E-2</v>
      </c>
      <c r="AC933" s="1198">
        <f>((N933/Y933)-1)*100%</f>
        <v>-1.3363307106282085E-2</v>
      </c>
      <c r="AD933" s="266">
        <f>((N933*0.96-W933)/(N933*0.96))*100%</f>
        <v>-9.3825060917721199E-3</v>
      </c>
      <c r="AE933" s="261">
        <f>N933/$R$33</f>
        <v>1.6796717198562712</v>
      </c>
      <c r="AF933" s="239">
        <f>(V933/(1-$AB$930))</f>
        <v>1.7691456521739128</v>
      </c>
      <c r="AG933" s="1868">
        <v>3.34</v>
      </c>
      <c r="AH933" s="267">
        <f>((AF933-V933)/AF933)*100%</f>
        <v>7.999999999999996E-2</v>
      </c>
      <c r="AI933" s="1374">
        <f>AJ933/$AJ$934</f>
        <v>0.41824841824841824</v>
      </c>
      <c r="AJ933" s="333">
        <f>[1]Статистика!D358</f>
        <v>1256</v>
      </c>
      <c r="AK933" s="270">
        <f>Q933*S933*AJ933</f>
        <v>-341.31964670672039</v>
      </c>
      <c r="AL933" s="506">
        <f>AK933/$AK$934</f>
        <v>0.53317254997560048</v>
      </c>
      <c r="AM933" s="77">
        <f>AJ933/$AJ$1101</f>
        <v>1.6878204137578865E-3</v>
      </c>
      <c r="AN933" s="77">
        <f>AK933/$AK$1101</f>
        <v>4.476538547050074E-3</v>
      </c>
      <c r="AO933" s="13"/>
      <c r="AP933" s="13"/>
    </row>
    <row r="934" spans="1:42" ht="15.75" thickBot="1">
      <c r="J934" s="532"/>
      <c r="K934" s="533"/>
      <c r="P934" s="886"/>
      <c r="Q934" s="1091"/>
      <c r="R934" s="1092"/>
      <c r="S934" s="364"/>
      <c r="T934" s="364"/>
      <c r="U934" s="872"/>
      <c r="V934" s="872"/>
      <c r="W934" s="872"/>
      <c r="X934" s="872"/>
      <c r="Y934" s="872"/>
      <c r="Z934" s="872"/>
      <c r="AA934" s="364"/>
      <c r="AB934" s="364"/>
      <c r="AC934" s="364"/>
      <c r="AD934" s="364">
        <f>AVERAGE(AD932:AD933)</f>
        <v>4.0076666572169468E-2</v>
      </c>
      <c r="AE934" s="872"/>
      <c r="AF934" s="872"/>
      <c r="AG934" s="1882"/>
      <c r="AH934" s="364"/>
      <c r="AI934" s="512">
        <f>S932*AI932+S933*AI933</f>
        <v>-0.16734286544382321</v>
      </c>
      <c r="AJ934" s="513">
        <f>SUM(AJ932:AJ933)</f>
        <v>3003</v>
      </c>
      <c r="AK934" s="514">
        <f>SUM(AK932:AK933)</f>
        <v>-640.16732804856542</v>
      </c>
      <c r="AM934" s="307">
        <f>SUM(AM932:AM933)</f>
        <v>4.0354496039131634E-3</v>
      </c>
      <c r="AN934" s="307">
        <f>SUM(AN932:AN933)</f>
        <v>8.3960409200641191E-3</v>
      </c>
      <c r="AO934" s="13"/>
      <c r="AP934" s="13"/>
    </row>
    <row r="935" spans="1:42">
      <c r="A935" s="149" t="s">
        <v>34</v>
      </c>
      <c r="C935" s="157" t="s">
        <v>35</v>
      </c>
      <c r="J935" s="532"/>
      <c r="K935" s="533"/>
      <c r="AO935" s="13"/>
      <c r="AP935" s="13"/>
    </row>
    <row r="936" spans="1:42" ht="15.75" thickBot="1">
      <c r="A936" s="187"/>
      <c r="B936" s="157"/>
      <c r="C936" s="148" t="s">
        <v>27</v>
      </c>
      <c r="F936" s="158" t="s">
        <v>1077</v>
      </c>
      <c r="G936" s="158"/>
      <c r="H936" s="159"/>
      <c r="I936" s="160"/>
      <c r="J936" s="541"/>
      <c r="K936" s="2309" t="s">
        <v>1389</v>
      </c>
      <c r="L936" s="2309"/>
      <c r="M936" s="2309"/>
      <c r="N936" s="2309"/>
      <c r="O936" s="2309"/>
      <c r="P936" s="1852"/>
      <c r="T936" s="1851"/>
      <c r="U936" s="309"/>
      <c r="V936" s="309"/>
      <c r="W936" s="309"/>
      <c r="X936" s="309"/>
      <c r="Y936" s="309"/>
      <c r="Z936" s="309"/>
      <c r="AA936" s="346">
        <v>0.19</v>
      </c>
      <c r="AB936" s="628">
        <v>0.12</v>
      </c>
      <c r="AC936" s="628">
        <v>0.15</v>
      </c>
      <c r="AD936" s="585"/>
      <c r="AE936" s="188"/>
      <c r="AF936" s="188"/>
      <c r="AG936" s="1866"/>
      <c r="AH936" s="1851"/>
      <c r="AO936" s="13"/>
      <c r="AP936" s="13"/>
    </row>
    <row r="937" spans="1:42" ht="60.75" thickBot="1">
      <c r="A937" s="187"/>
      <c r="B937" s="369" t="s">
        <v>10</v>
      </c>
      <c r="C937" s="1334" t="s">
        <v>11</v>
      </c>
      <c r="D937" s="370" t="s">
        <v>12</v>
      </c>
      <c r="E937" s="370" t="s">
        <v>13</v>
      </c>
      <c r="F937" s="370" t="s">
        <v>14</v>
      </c>
      <c r="G937" s="1082" t="s">
        <v>15</v>
      </c>
      <c r="H937" s="1083" t="s">
        <v>1090</v>
      </c>
      <c r="I937" s="372">
        <f>$C$20</f>
        <v>0.49</v>
      </c>
      <c r="J937" s="1644">
        <f>$C$20</f>
        <v>0.49</v>
      </c>
      <c r="K937" s="601" t="s">
        <v>15</v>
      </c>
      <c r="L937" s="315" t="s">
        <v>12</v>
      </c>
      <c r="M937" s="316" t="s">
        <v>1091</v>
      </c>
      <c r="N937" s="549" t="s">
        <v>993</v>
      </c>
      <c r="O937" s="317" t="s">
        <v>1092</v>
      </c>
      <c r="P937" s="199" t="s">
        <v>1092</v>
      </c>
      <c r="Q937" s="200" t="s">
        <v>1093</v>
      </c>
      <c r="R937" s="201" t="s">
        <v>1094</v>
      </c>
      <c r="S937" s="350" t="s">
        <v>1095</v>
      </c>
      <c r="T937" s="203" t="s">
        <v>1095</v>
      </c>
      <c r="U937" s="204" t="s">
        <v>1096</v>
      </c>
      <c r="V937" s="205" t="s">
        <v>1093</v>
      </c>
      <c r="W937" s="206" t="s">
        <v>1094</v>
      </c>
      <c r="X937" s="207" t="s">
        <v>1097</v>
      </c>
      <c r="Y937" s="208">
        <f>$X$33</f>
        <v>0.49</v>
      </c>
      <c r="Z937" s="207" t="s">
        <v>1098</v>
      </c>
      <c r="AA937" s="209" t="s">
        <v>1099</v>
      </c>
      <c r="AB937" s="209" t="s">
        <v>1100</v>
      </c>
      <c r="AC937" s="210" t="s">
        <v>1092</v>
      </c>
      <c r="AD937" s="211" t="s">
        <v>1101</v>
      </c>
      <c r="AE937" s="212" t="s">
        <v>1102</v>
      </c>
      <c r="AF937" s="208" t="s">
        <v>1103</v>
      </c>
      <c r="AG937" s="1867" t="s">
        <v>1104</v>
      </c>
      <c r="AH937" s="213" t="s">
        <v>1105</v>
      </c>
      <c r="AI937" s="1221" t="s">
        <v>1106</v>
      </c>
      <c r="AJ937" s="483" t="s">
        <v>1107</v>
      </c>
      <c r="AK937" s="484" t="s">
        <v>1108</v>
      </c>
      <c r="AL937" s="221" t="s">
        <v>1109</v>
      </c>
      <c r="AM937" s="221" t="s">
        <v>1175</v>
      </c>
      <c r="AN937" s="221" t="s">
        <v>1176</v>
      </c>
      <c r="AO937" s="13"/>
      <c r="AP937" s="13"/>
    </row>
    <row r="938" spans="1:42" ht="15.75">
      <c r="A938" s="187"/>
      <c r="B938" s="1534" t="s">
        <v>241</v>
      </c>
      <c r="C938" s="1593" t="s">
        <v>190</v>
      </c>
      <c r="D938" s="1594">
        <v>25</v>
      </c>
      <c r="E938" s="1594">
        <v>10</v>
      </c>
      <c r="F938" s="1594">
        <v>800</v>
      </c>
      <c r="G938" s="1645">
        <v>24</v>
      </c>
      <c r="H938" s="1646">
        <f t="shared" ref="H938:H943" si="487">G938*(1+$H$33)</f>
        <v>25.68</v>
      </c>
      <c r="I938" s="504">
        <f t="shared" ref="I938:I943" si="488">H938-H938*$J$833</f>
        <v>13.0968</v>
      </c>
      <c r="J938" s="1514">
        <f t="shared" ref="J938:J943" si="489">G938-G938*$J$833</f>
        <v>12.24</v>
      </c>
      <c r="K938" s="928">
        <v>33</v>
      </c>
      <c r="L938" s="929">
        <v>29</v>
      </c>
      <c r="M938" s="1008">
        <f t="shared" ref="M938:M943" si="490">L938/D938*100%</f>
        <v>1.1599999999999999</v>
      </c>
      <c r="N938" s="496">
        <f t="shared" ref="N938:N943" si="491">K938-(K938*$O$33)</f>
        <v>16.5</v>
      </c>
      <c r="O938" s="932">
        <f t="shared" ref="O938:O943" si="492">((N938/J938)-1)*100%</f>
        <v>0.34803921568627438</v>
      </c>
      <c r="P938" s="1599">
        <f t="shared" ref="P938:P943" si="493">((N938/I938)-1)*100%</f>
        <v>0.25984973428623781</v>
      </c>
      <c r="Q938" s="1600">
        <v>0.28469950293718932</v>
      </c>
      <c r="R938" s="561">
        <f t="shared" ref="R938:R943" si="494">Q938*$R$33</f>
        <v>13.390271721644826</v>
      </c>
      <c r="S938" s="562">
        <f t="shared" ref="S938:S943" si="495">((J938-R938)/J938)*100%</f>
        <v>-9.3976447846799482E-2</v>
      </c>
      <c r="T938" s="237">
        <f t="shared" ref="T938:T943" si="496">((I938-R938)/I938)*100%</f>
        <v>-2.2407895183924772E-2</v>
      </c>
      <c r="U938" s="238">
        <v>0.23443</v>
      </c>
      <c r="V938" s="239">
        <f t="shared" ref="V938:V943" si="497">U938*$X$31</f>
        <v>0.28131600000000001</v>
      </c>
      <c r="W938" s="239">
        <f t="shared" ref="W938:W943" si="498">V938*$R$33</f>
        <v>13.231135428</v>
      </c>
      <c r="X938" s="240">
        <f>(ROUND(W938/(1-$AA$936),0))</f>
        <v>16</v>
      </c>
      <c r="Y938" s="239">
        <f t="shared" ref="Y938:Y943" si="499">Z938*(1-$X$33)</f>
        <v>15.3</v>
      </c>
      <c r="Z938" s="240">
        <f t="shared" ref="Z938:Z943" si="500">ROUND(X938/(1-$X$828),0)</f>
        <v>30</v>
      </c>
      <c r="AA938" s="241">
        <f t="shared" ref="AA938:AA943" si="501">((X938-W938)/X938)*100%</f>
        <v>0.17305403575</v>
      </c>
      <c r="AB938" s="241">
        <f t="shared" ref="AB938:AB943" si="502">((Y938-W938)/Y938)*100%</f>
        <v>0.13521990666666669</v>
      </c>
      <c r="AC938" s="242">
        <f t="shared" ref="AC938:AC943" si="503">((N938/Y938)-1)*100%</f>
        <v>7.8431372549019551E-2</v>
      </c>
      <c r="AD938" s="243">
        <f t="shared" ref="AD938:AD943" si="504">((N938*0.96-W938)/(N938*0.96))*100%</f>
        <v>0.1647010462121212</v>
      </c>
      <c r="AE938" s="238">
        <f t="shared" ref="AE938:AE943" si="505">N938/$R$33</f>
        <v>0.35081751110922116</v>
      </c>
      <c r="AF938" s="239">
        <f>(V938/(1-$AA$936))</f>
        <v>0.34730370370370367</v>
      </c>
      <c r="AG938" s="1868">
        <v>0.66</v>
      </c>
      <c r="AH938" s="244">
        <f t="shared" ref="AH938:AH943" si="506">((AF938-V938)/AF938)*100%</f>
        <v>0.18999999999999989</v>
      </c>
      <c r="AI938" s="1372">
        <f t="shared" ref="AI938:AI943" si="507">AJ938/$AJ$944</f>
        <v>0.67215334732023646</v>
      </c>
      <c r="AJ938" s="338">
        <f>[1]Статистика!D262</f>
        <v>105723</v>
      </c>
      <c r="AK938" s="297">
        <f t="shared" ref="AK938:AK943" si="508">Q938*S938*AJ938</f>
        <v>-2828.6239386241987</v>
      </c>
      <c r="AL938" s="866">
        <f t="shared" ref="AL938:AL943" si="509">AK938/$AK$944</f>
        <v>0.2973444163670923</v>
      </c>
      <c r="AM938" s="92">
        <f t="shared" ref="AM938:AM943" si="510">AJ938/$AJ$1101</f>
        <v>0.14207120828322056</v>
      </c>
      <c r="AN938" s="92">
        <f t="shared" ref="AN938:AN943" si="511">AK938/$AK$1101</f>
        <v>3.7098491746770323E-2</v>
      </c>
      <c r="AO938" s="13"/>
      <c r="AP938" s="13"/>
    </row>
    <row r="939" spans="1:42" ht="15.75">
      <c r="A939" s="271"/>
      <c r="B939" s="1534" t="s">
        <v>242</v>
      </c>
      <c r="C939" s="1566" t="s">
        <v>192</v>
      </c>
      <c r="D939" s="926">
        <v>52</v>
      </c>
      <c r="E939" s="926">
        <v>10</v>
      </c>
      <c r="F939" s="926">
        <v>350</v>
      </c>
      <c r="G939" s="1636">
        <v>46</v>
      </c>
      <c r="H939" s="1646">
        <f t="shared" si="487"/>
        <v>49.220000000000006</v>
      </c>
      <c r="I939" s="504">
        <f t="shared" si="488"/>
        <v>25.102200000000003</v>
      </c>
      <c r="J939" s="1514">
        <f t="shared" si="489"/>
        <v>23.46</v>
      </c>
      <c r="K939" s="928">
        <v>52</v>
      </c>
      <c r="L939" s="929">
        <v>45</v>
      </c>
      <c r="M939" s="495">
        <f t="shared" si="490"/>
        <v>0.86538461538461542</v>
      </c>
      <c r="N939" s="496">
        <f t="shared" si="491"/>
        <v>26</v>
      </c>
      <c r="O939" s="1571">
        <f t="shared" si="492"/>
        <v>0.10826939471440755</v>
      </c>
      <c r="P939" s="1572">
        <f t="shared" si="493"/>
        <v>3.5765789452717245E-2</v>
      </c>
      <c r="Q939" s="1570">
        <v>0.62985837281573176</v>
      </c>
      <c r="R939" s="650">
        <f t="shared" si="494"/>
        <v>29.624128848642311</v>
      </c>
      <c r="S939" s="933">
        <f t="shared" si="495"/>
        <v>-0.26275059030870884</v>
      </c>
      <c r="T939" s="260">
        <f t="shared" si="496"/>
        <v>-0.18014073860626983</v>
      </c>
      <c r="U939" s="261">
        <v>0.49348500000000001</v>
      </c>
      <c r="V939" s="239">
        <f t="shared" si="497"/>
        <v>0.59218199999999999</v>
      </c>
      <c r="W939" s="262">
        <f t="shared" si="498"/>
        <v>27.852096006</v>
      </c>
      <c r="X939" s="240">
        <f>(ROUND(W939/(1-$AB$936),0))</f>
        <v>32</v>
      </c>
      <c r="Y939" s="239">
        <f t="shared" si="499"/>
        <v>30.6</v>
      </c>
      <c r="Z939" s="240">
        <f t="shared" si="500"/>
        <v>60</v>
      </c>
      <c r="AA939" s="264">
        <f t="shared" si="501"/>
        <v>0.1296219998125</v>
      </c>
      <c r="AB939" s="241">
        <f t="shared" si="502"/>
        <v>8.9800784117647095E-2</v>
      </c>
      <c r="AC939" s="265">
        <f t="shared" si="503"/>
        <v>-0.15032679738562094</v>
      </c>
      <c r="AD939" s="266">
        <f t="shared" si="504"/>
        <v>-0.11586923100961535</v>
      </c>
      <c r="AE939" s="261">
        <f t="shared" si="505"/>
        <v>0.55280335083877274</v>
      </c>
      <c r="AF939" s="239">
        <f>(V939/(1-$AB$936))</f>
        <v>0.67293409090909084</v>
      </c>
      <c r="AG939" s="1868">
        <f>AF939/(1-$X$828)</f>
        <v>1.2696869639794166</v>
      </c>
      <c r="AH939" s="267">
        <f t="shared" si="506"/>
        <v>0.11999999999999994</v>
      </c>
      <c r="AI939" s="1374">
        <f t="shared" si="507"/>
        <v>0.14515862419734249</v>
      </c>
      <c r="AJ939" s="333">
        <f>[1]Статистика!D263</f>
        <v>22832</v>
      </c>
      <c r="AK939" s="270">
        <f t="shared" si="508"/>
        <v>-3778.5968924119152</v>
      </c>
      <c r="AL939" s="506">
        <f t="shared" si="509"/>
        <v>0.39720539458037868</v>
      </c>
      <c r="AM939" s="77">
        <f t="shared" si="510"/>
        <v>3.0681780005509605E-2</v>
      </c>
      <c r="AN939" s="77">
        <f t="shared" si="511"/>
        <v>4.955775269854254E-2</v>
      </c>
      <c r="AO939" s="13"/>
      <c r="AP939" s="13"/>
    </row>
    <row r="940" spans="1:42" ht="15.75">
      <c r="A940" s="187"/>
      <c r="B940" s="1534" t="s">
        <v>243</v>
      </c>
      <c r="C940" s="1566" t="s">
        <v>194</v>
      </c>
      <c r="D940" s="926">
        <v>70</v>
      </c>
      <c r="E940" s="926">
        <v>10</v>
      </c>
      <c r="F940" s="926">
        <v>150</v>
      </c>
      <c r="G940" s="1636">
        <v>75</v>
      </c>
      <c r="H940" s="1646">
        <f t="shared" si="487"/>
        <v>80.25</v>
      </c>
      <c r="I940" s="504">
        <f t="shared" si="488"/>
        <v>40.927500000000002</v>
      </c>
      <c r="J940" s="1514">
        <f t="shared" si="489"/>
        <v>38.25</v>
      </c>
      <c r="K940" s="928">
        <v>106</v>
      </c>
      <c r="L940" s="929">
        <v>94</v>
      </c>
      <c r="M940" s="495">
        <f t="shared" si="490"/>
        <v>1.3428571428571427</v>
      </c>
      <c r="N940" s="496">
        <f t="shared" si="491"/>
        <v>53</v>
      </c>
      <c r="O940" s="932">
        <f t="shared" si="492"/>
        <v>0.3856209150326797</v>
      </c>
      <c r="P940" s="1601">
        <f t="shared" si="493"/>
        <v>0.29497281778755102</v>
      </c>
      <c r="Q940" s="1573">
        <v>0.82000000000000006</v>
      </c>
      <c r="R940" s="650">
        <f t="shared" si="494"/>
        <v>38.567060000000005</v>
      </c>
      <c r="S940" s="933">
        <f t="shared" si="495"/>
        <v>-8.2891503267975165E-3</v>
      </c>
      <c r="T940" s="260">
        <f t="shared" si="496"/>
        <v>5.767369128336685E-2</v>
      </c>
      <c r="U940" s="261">
        <v>0.68555999999999995</v>
      </c>
      <c r="V940" s="239">
        <f t="shared" si="497"/>
        <v>0.82267199999999996</v>
      </c>
      <c r="W940" s="262">
        <f t="shared" si="498"/>
        <v>38.692732176</v>
      </c>
      <c r="X940" s="240">
        <f>(ROUND(W940/(1-$AA$936),0))</f>
        <v>48</v>
      </c>
      <c r="Y940" s="239">
        <f t="shared" si="499"/>
        <v>46.410000000000004</v>
      </c>
      <c r="Z940" s="240">
        <f t="shared" si="500"/>
        <v>91</v>
      </c>
      <c r="AA940" s="264">
        <f t="shared" si="501"/>
        <v>0.19390141299999999</v>
      </c>
      <c r="AB940" s="241">
        <f t="shared" si="502"/>
        <v>0.16628459004524893</v>
      </c>
      <c r="AC940" s="242">
        <f t="shared" si="503"/>
        <v>0.14199525964231841</v>
      </c>
      <c r="AD940" s="266">
        <f t="shared" si="504"/>
        <v>0.23952963490566032</v>
      </c>
      <c r="AE940" s="261">
        <f t="shared" si="505"/>
        <v>1.1268683690174983</v>
      </c>
      <c r="AF940" s="239">
        <f>(V940/(1-$AA$936))</f>
        <v>1.0156444444444443</v>
      </c>
      <c r="AG940" s="1868">
        <v>1.92</v>
      </c>
      <c r="AH940" s="267">
        <f t="shared" si="506"/>
        <v>0.18999999999999997</v>
      </c>
      <c r="AI940" s="1374">
        <f t="shared" si="507"/>
        <v>0.13909339436709264</v>
      </c>
      <c r="AJ940" s="333">
        <f>[1]Статистика!D264</f>
        <v>21878</v>
      </c>
      <c r="AK940" s="270">
        <f t="shared" si="508"/>
        <v>-148.70702529673437</v>
      </c>
      <c r="AL940" s="506">
        <f t="shared" si="509"/>
        <v>1.5632054527563149E-2</v>
      </c>
      <c r="AM940" s="77">
        <f t="shared" si="510"/>
        <v>2.9399789022448282E-2</v>
      </c>
      <c r="AN940" s="77">
        <f t="shared" si="511"/>
        <v>1.9503498769585324E-3</v>
      </c>
      <c r="AO940" s="13"/>
      <c r="AP940" s="13"/>
    </row>
    <row r="941" spans="1:42" ht="15.75">
      <c r="A941" s="187"/>
      <c r="B941" s="1391" t="s">
        <v>244</v>
      </c>
      <c r="C941" s="251" t="s">
        <v>209</v>
      </c>
      <c r="D941" s="251">
        <v>170</v>
      </c>
      <c r="E941" s="251">
        <v>8</v>
      </c>
      <c r="F941" s="251">
        <v>80</v>
      </c>
      <c r="G941" s="1636">
        <v>140</v>
      </c>
      <c r="H941" s="1646">
        <f t="shared" si="487"/>
        <v>149.80000000000001</v>
      </c>
      <c r="I941" s="504">
        <f t="shared" si="488"/>
        <v>76.39800000000001</v>
      </c>
      <c r="J941" s="1272">
        <f t="shared" si="489"/>
        <v>71.400000000000006</v>
      </c>
      <c r="K941" s="254">
        <v>163</v>
      </c>
      <c r="L941" s="322">
        <v>140</v>
      </c>
      <c r="M941" s="385">
        <f t="shared" si="490"/>
        <v>0.82352941176470584</v>
      </c>
      <c r="N941" s="382">
        <f t="shared" si="491"/>
        <v>81.5</v>
      </c>
      <c r="O941" s="324">
        <f t="shared" si="492"/>
        <v>0.14145658263305316</v>
      </c>
      <c r="P941" s="1572">
        <f t="shared" si="493"/>
        <v>6.6781852928087027E-2</v>
      </c>
      <c r="Q941" s="257">
        <v>1.9000000000000001</v>
      </c>
      <c r="R941" s="258">
        <f t="shared" si="494"/>
        <v>89.362700000000004</v>
      </c>
      <c r="S941" s="259">
        <f t="shared" si="495"/>
        <v>-0.25157843137254898</v>
      </c>
      <c r="T941" s="260">
        <f t="shared" si="496"/>
        <v>-0.16969946857247561</v>
      </c>
      <c r="U941" s="261">
        <v>1.5996400000000002</v>
      </c>
      <c r="V941" s="239">
        <f t="shared" si="497"/>
        <v>1.9195680000000002</v>
      </c>
      <c r="W941" s="262">
        <f t="shared" si="498"/>
        <v>90.283041744000016</v>
      </c>
      <c r="X941" s="240">
        <f>(ROUND(W941/(1-$AB$936),0))</f>
        <v>103</v>
      </c>
      <c r="Y941" s="239">
        <f t="shared" si="499"/>
        <v>98.94</v>
      </c>
      <c r="Z941" s="240">
        <f t="shared" si="500"/>
        <v>194</v>
      </c>
      <c r="AA941" s="264">
        <f t="shared" si="501"/>
        <v>0.12346561413592218</v>
      </c>
      <c r="AB941" s="241">
        <f t="shared" si="502"/>
        <v>8.7497051303820308E-2</v>
      </c>
      <c r="AC941" s="265">
        <f t="shared" si="503"/>
        <v>-0.17626844552253884</v>
      </c>
      <c r="AD941" s="266">
        <f t="shared" si="504"/>
        <v>-0.15392435766871193</v>
      </c>
      <c r="AE941" s="261">
        <f t="shared" si="505"/>
        <v>1.7328258882061531</v>
      </c>
      <c r="AF941" s="239">
        <f>(V941/(1-$AB$936))</f>
        <v>2.1813272727272728</v>
      </c>
      <c r="AG941" s="1868">
        <v>4.12</v>
      </c>
      <c r="AH941" s="267">
        <f t="shared" si="506"/>
        <v>0.11999999999999995</v>
      </c>
      <c r="AI941" s="1374">
        <f t="shared" si="507"/>
        <v>2.6657765910102358E-2</v>
      </c>
      <c r="AJ941" s="333">
        <f>[1]Статистика!D265</f>
        <v>4193</v>
      </c>
      <c r="AK941" s="270">
        <f t="shared" si="508"/>
        <v>-2004.2498892156859</v>
      </c>
      <c r="AL941" s="506">
        <f t="shared" si="509"/>
        <v>0.21068637135713067</v>
      </c>
      <c r="AM941" s="77">
        <f t="shared" si="510"/>
        <v>5.634578817585046E-3</v>
      </c>
      <c r="AN941" s="77">
        <f t="shared" si="511"/>
        <v>2.628650877136339E-2</v>
      </c>
      <c r="AO941" s="13"/>
      <c r="AP941" s="13"/>
    </row>
    <row r="942" spans="1:42" ht="15.75">
      <c r="A942" s="187"/>
      <c r="B942" s="1534" t="s">
        <v>1390</v>
      </c>
      <c r="C942" s="1593" t="s">
        <v>1350</v>
      </c>
      <c r="D942" s="1594">
        <v>172</v>
      </c>
      <c r="E942" s="1594">
        <v>6</v>
      </c>
      <c r="F942" s="1594">
        <v>60</v>
      </c>
      <c r="G942" s="1645">
        <v>156</v>
      </c>
      <c r="H942" s="1646">
        <f t="shared" si="487"/>
        <v>166.92000000000002</v>
      </c>
      <c r="I942" s="504">
        <f t="shared" si="488"/>
        <v>85.129200000000012</v>
      </c>
      <c r="J942" s="1514">
        <f t="shared" si="489"/>
        <v>79.56</v>
      </c>
      <c r="K942" s="928">
        <v>193</v>
      </c>
      <c r="L942" s="929">
        <v>172</v>
      </c>
      <c r="M942" s="495">
        <f t="shared" si="490"/>
        <v>1</v>
      </c>
      <c r="N942" s="496">
        <f t="shared" si="491"/>
        <v>96.5</v>
      </c>
      <c r="O942" s="932">
        <f t="shared" si="492"/>
        <v>0.21292106586224224</v>
      </c>
      <c r="P942" s="1647">
        <f t="shared" si="493"/>
        <v>0.1335710895908806</v>
      </c>
      <c r="Q942" s="1570">
        <v>1.88</v>
      </c>
      <c r="R942" s="650">
        <f t="shared" si="494"/>
        <v>88.422039999999996</v>
      </c>
      <c r="S942" s="933">
        <f t="shared" si="495"/>
        <v>-0.11138813474107583</v>
      </c>
      <c r="T942" s="260">
        <f t="shared" si="496"/>
        <v>-3.8680499758014686E-2</v>
      </c>
      <c r="U942" s="261">
        <v>1.5750150000000001</v>
      </c>
      <c r="V942" s="239">
        <f t="shared" si="497"/>
        <v>1.890018</v>
      </c>
      <c r="W942" s="262">
        <f t="shared" si="498"/>
        <v>88.893216593999995</v>
      </c>
      <c r="X942" s="240">
        <f>(ROUND(W942/(1-$AB$936),0))</f>
        <v>101</v>
      </c>
      <c r="Y942" s="239">
        <f t="shared" si="499"/>
        <v>97.41</v>
      </c>
      <c r="Z942" s="240">
        <f t="shared" si="500"/>
        <v>191</v>
      </c>
      <c r="AA942" s="264">
        <f t="shared" si="501"/>
        <v>0.11986914263366341</v>
      </c>
      <c r="AB942" s="241">
        <f t="shared" si="502"/>
        <v>8.7432331444410247E-2</v>
      </c>
      <c r="AC942" s="242">
        <f t="shared" si="503"/>
        <v>-9.3419566779591179E-3</v>
      </c>
      <c r="AD942" s="266">
        <f t="shared" si="504"/>
        <v>4.044455317357519E-2</v>
      </c>
      <c r="AE942" s="261">
        <f t="shared" si="505"/>
        <v>2.0517508983054449</v>
      </c>
      <c r="AF942" s="239">
        <f>(V942/(1-$AB$936))</f>
        <v>2.1477477272727272</v>
      </c>
      <c r="AG942" s="1868">
        <v>4.12</v>
      </c>
      <c r="AH942" s="267">
        <f t="shared" si="506"/>
        <v>0.12</v>
      </c>
      <c r="AI942" s="1374">
        <f t="shared" si="507"/>
        <v>1.0452031279801641E-2</v>
      </c>
      <c r="AJ942" s="333">
        <f>[1]Статистика!D266</f>
        <v>1644</v>
      </c>
      <c r="AK942" s="270">
        <f t="shared" si="508"/>
        <v>-344.26953580693788</v>
      </c>
      <c r="AL942" s="506">
        <f t="shared" si="509"/>
        <v>3.6189548847300412E-2</v>
      </c>
      <c r="AM942" s="77">
        <f t="shared" si="510"/>
        <v>2.209217165778635E-3</v>
      </c>
      <c r="AN942" s="77">
        <f t="shared" si="511"/>
        <v>4.5152274780684313E-3</v>
      </c>
      <c r="AO942" s="13"/>
      <c r="AP942" s="13"/>
    </row>
    <row r="943" spans="1:42" ht="16.5" thickBot="1">
      <c r="A943" s="187"/>
      <c r="B943" s="401" t="s">
        <v>1391</v>
      </c>
      <c r="C943" s="1629" t="s">
        <v>1392</v>
      </c>
      <c r="D943" s="403">
        <v>256</v>
      </c>
      <c r="E943" s="403">
        <v>4</v>
      </c>
      <c r="F943" s="403">
        <v>40</v>
      </c>
      <c r="G943" s="1648">
        <v>225</v>
      </c>
      <c r="H943" s="1640">
        <f t="shared" si="487"/>
        <v>240.75</v>
      </c>
      <c r="I943" s="867">
        <f t="shared" si="488"/>
        <v>122.7825</v>
      </c>
      <c r="J943" s="1649">
        <f t="shared" si="489"/>
        <v>114.75</v>
      </c>
      <c r="K943" s="1617">
        <v>318</v>
      </c>
      <c r="L943" s="406">
        <v>256</v>
      </c>
      <c r="M943" s="1015">
        <f t="shared" si="490"/>
        <v>1</v>
      </c>
      <c r="N943" s="408">
        <f t="shared" si="491"/>
        <v>159</v>
      </c>
      <c r="O943" s="409">
        <f t="shared" si="492"/>
        <v>0.3856209150326797</v>
      </c>
      <c r="P943" s="1604">
        <f t="shared" si="493"/>
        <v>0.29497281778755124</v>
      </c>
      <c r="Q943" s="1605">
        <v>2.79</v>
      </c>
      <c r="R943" s="493">
        <f t="shared" si="494"/>
        <v>131.22207</v>
      </c>
      <c r="S943" s="1606">
        <f t="shared" si="495"/>
        <v>-0.14354745098039218</v>
      </c>
      <c r="T943" s="287">
        <f t="shared" si="496"/>
        <v>-6.8735935495693637E-2</v>
      </c>
      <c r="U943" s="261">
        <v>2.343315</v>
      </c>
      <c r="V943" s="239">
        <f t="shared" si="497"/>
        <v>2.8119779999999999</v>
      </c>
      <c r="W943" s="289">
        <f t="shared" si="498"/>
        <v>132.25576127400001</v>
      </c>
      <c r="X943" s="240">
        <f>(ROUND(W943/(1-$AC$936),0))</f>
        <v>156</v>
      </c>
      <c r="Y943" s="291">
        <f t="shared" si="499"/>
        <v>149.94</v>
      </c>
      <c r="Z943" s="240">
        <f t="shared" si="500"/>
        <v>294</v>
      </c>
      <c r="AA943" s="292">
        <f t="shared" si="501"/>
        <v>0.15220665849999995</v>
      </c>
      <c r="AB943" s="241">
        <f t="shared" si="502"/>
        <v>0.11794210168067221</v>
      </c>
      <c r="AC943" s="345">
        <f t="shared" si="503"/>
        <v>6.0424169667867123E-2</v>
      </c>
      <c r="AD943" s="294">
        <f t="shared" si="504"/>
        <v>0.13354454091981119</v>
      </c>
      <c r="AE943" s="288">
        <f t="shared" si="505"/>
        <v>3.380605107052495</v>
      </c>
      <c r="AF943" s="239">
        <f>(V943/(1-$AC$936))</f>
        <v>3.3082094117647056</v>
      </c>
      <c r="AG943" s="1868">
        <v>6.24</v>
      </c>
      <c r="AH943" s="295">
        <f t="shared" si="506"/>
        <v>0.14999999999999997</v>
      </c>
      <c r="AI943" s="1374">
        <f t="shared" si="507"/>
        <v>6.4848369254243751E-3</v>
      </c>
      <c r="AJ943" s="333">
        <f>[1]Статистика!D267</f>
        <v>1020</v>
      </c>
      <c r="AK943" s="270">
        <f t="shared" si="508"/>
        <v>-408.50733600000007</v>
      </c>
      <c r="AL943" s="506">
        <f t="shared" si="509"/>
        <v>4.2942214320534827E-2</v>
      </c>
      <c r="AM943" s="77">
        <f t="shared" si="510"/>
        <v>1.3706821831473283E-3</v>
      </c>
      <c r="AN943" s="77">
        <f t="shared" si="511"/>
        <v>5.3577309539642468E-3</v>
      </c>
      <c r="AO943" s="13"/>
      <c r="AP943" s="13"/>
    </row>
    <row r="944" spans="1:42" ht="15.75" thickBot="1">
      <c r="A944" s="187"/>
      <c r="B944" s="413"/>
      <c r="C944" s="414"/>
      <c r="D944" s="414"/>
      <c r="E944" s="414"/>
      <c r="F944" s="414"/>
      <c r="G944" s="827"/>
      <c r="H944" s="785"/>
      <c r="I944" s="785"/>
      <c r="J944" s="897"/>
      <c r="K944" s="533"/>
      <c r="P944" s="886"/>
      <c r="Q944" s="1091"/>
      <c r="R944" s="1092"/>
      <c r="S944" s="364"/>
      <c r="T944" s="364"/>
      <c r="U944" s="872"/>
      <c r="V944" s="872"/>
      <c r="W944" s="872"/>
      <c r="X944" s="872"/>
      <c r="Y944" s="872"/>
      <c r="Z944" s="872"/>
      <c r="AA944" s="364"/>
      <c r="AB944" s="364"/>
      <c r="AC944" s="364"/>
      <c r="AD944" s="364">
        <f>AVERAGE(AD938:AD943)</f>
        <v>5.1404364422140102E-2</v>
      </c>
      <c r="AE944" s="872"/>
      <c r="AF944" s="872"/>
      <c r="AG944" s="1882"/>
      <c r="AH944" s="364"/>
      <c r="AI944" s="512">
        <f>S938*AI938+S939*AI939+S940*AI940+S941*AI941+S942*AI942+S943*AI943</f>
        <v>-0.11126169725185787</v>
      </c>
      <c r="AJ944" s="513">
        <f>SUM(AJ938:AJ943)</f>
        <v>157290</v>
      </c>
      <c r="AK944" s="514">
        <f>SUM(AK938:AK943)</f>
        <v>-9512.9546173554718</v>
      </c>
      <c r="AM944" s="307">
        <f>SUM(AM938:AM943)</f>
        <v>0.21136725547768945</v>
      </c>
      <c r="AN944" s="307">
        <f>SUM(AN938:AN943)</f>
        <v>0.12476606152566747</v>
      </c>
      <c r="AO944" s="13"/>
      <c r="AP944" s="13"/>
    </row>
    <row r="945" spans="1:42">
      <c r="A945" s="187"/>
      <c r="B945" s="413"/>
      <c r="C945" s="414"/>
      <c r="D945" s="414"/>
      <c r="E945" s="414"/>
      <c r="F945" s="414"/>
      <c r="G945" s="827"/>
      <c r="H945" s="785"/>
      <c r="I945" s="785"/>
      <c r="J945" s="897"/>
      <c r="K945" s="533"/>
      <c r="AO945" s="13"/>
      <c r="AP945" s="13"/>
    </row>
    <row r="946" spans="1:42">
      <c r="A946" s="149" t="s">
        <v>714</v>
      </c>
      <c r="B946" s="413"/>
      <c r="C946" s="157" t="s">
        <v>721</v>
      </c>
      <c r="E946" s="414"/>
      <c r="F946" s="414"/>
      <c r="G946" s="827"/>
      <c r="H946" s="785"/>
      <c r="I946" s="785"/>
      <c r="J946" s="897"/>
      <c r="K946" s="533"/>
      <c r="AO946" s="13"/>
      <c r="AP946" s="13"/>
    </row>
    <row r="947" spans="1:42" ht="15.75" thickBot="1">
      <c r="A947" s="187"/>
      <c r="B947" s="413"/>
      <c r="C947" s="148" t="s">
        <v>27</v>
      </c>
      <c r="E947" s="414"/>
      <c r="F947" s="414"/>
      <c r="G947" s="827"/>
      <c r="H947" s="785"/>
      <c r="I947" s="785"/>
      <c r="J947" s="897"/>
      <c r="K947" s="2309" t="s">
        <v>1393</v>
      </c>
      <c r="L947" s="2309"/>
      <c r="M947" s="2309"/>
      <c r="N947" s="2309"/>
      <c r="O947" s="2309"/>
      <c r="P947" s="1852"/>
      <c r="T947" s="1851"/>
      <c r="U947" s="309"/>
      <c r="V947" s="309"/>
      <c r="W947" s="309"/>
      <c r="X947" s="309"/>
      <c r="Y947" s="309"/>
      <c r="Z947" s="309"/>
      <c r="AA947" s="346">
        <v>0.19</v>
      </c>
      <c r="AB947" s="628">
        <v>0.15</v>
      </c>
      <c r="AC947" s="628"/>
      <c r="AD947" s="585"/>
      <c r="AE947" s="188"/>
      <c r="AF947" s="188"/>
      <c r="AG947" s="1866"/>
      <c r="AH947" s="1851"/>
      <c r="AO947" s="13"/>
      <c r="AP947" s="13"/>
    </row>
    <row r="948" spans="1:42" ht="60.75" thickBot="1">
      <c r="A948" s="187"/>
      <c r="B948" s="369" t="s">
        <v>10</v>
      </c>
      <c r="C948" s="1334" t="s">
        <v>11</v>
      </c>
      <c r="D948" s="370" t="s">
        <v>12</v>
      </c>
      <c r="E948" s="370" t="s">
        <v>13</v>
      </c>
      <c r="F948" s="370" t="s">
        <v>14</v>
      </c>
      <c r="G948" s="371" t="s">
        <v>15</v>
      </c>
      <c r="H948" s="372" t="s">
        <v>1090</v>
      </c>
      <c r="I948" s="372">
        <f>$C$20</f>
        <v>0.49</v>
      </c>
      <c r="J948" s="684">
        <f>$C$20</f>
        <v>0.49</v>
      </c>
      <c r="K948" s="548" t="s">
        <v>15</v>
      </c>
      <c r="L948" s="423" t="s">
        <v>12</v>
      </c>
      <c r="M948" s="196" t="s">
        <v>1091</v>
      </c>
      <c r="N948" s="549" t="s">
        <v>993</v>
      </c>
      <c r="O948" s="424" t="s">
        <v>1092</v>
      </c>
      <c r="P948" s="772" t="s">
        <v>1092</v>
      </c>
      <c r="Q948" s="200" t="s">
        <v>1093</v>
      </c>
      <c r="R948" s="201" t="s">
        <v>1094</v>
      </c>
      <c r="S948" s="350" t="s">
        <v>1095</v>
      </c>
      <c r="T948" s="203" t="s">
        <v>1095</v>
      </c>
      <c r="U948" s="204" t="s">
        <v>1096</v>
      </c>
      <c r="V948" s="205" t="s">
        <v>1093</v>
      </c>
      <c r="W948" s="206" t="s">
        <v>1094</v>
      </c>
      <c r="X948" s="207" t="s">
        <v>1097</v>
      </c>
      <c r="Y948" s="208">
        <f>$X$33</f>
        <v>0.49</v>
      </c>
      <c r="Z948" s="207" t="s">
        <v>1098</v>
      </c>
      <c r="AA948" s="209" t="s">
        <v>1099</v>
      </c>
      <c r="AB948" s="209" t="s">
        <v>1100</v>
      </c>
      <c r="AC948" s="210" t="s">
        <v>1092</v>
      </c>
      <c r="AD948" s="211" t="s">
        <v>1101</v>
      </c>
      <c r="AE948" s="212" t="s">
        <v>1102</v>
      </c>
      <c r="AF948" s="208" t="s">
        <v>1103</v>
      </c>
      <c r="AG948" s="1867" t="s">
        <v>1104</v>
      </c>
      <c r="AH948" s="213" t="s">
        <v>1105</v>
      </c>
      <c r="AI948" s="220" t="s">
        <v>1106</v>
      </c>
      <c r="AJ948" s="483" t="s">
        <v>1107</v>
      </c>
      <c r="AK948" s="484" t="s">
        <v>1108</v>
      </c>
      <c r="AL948" s="221" t="s">
        <v>1109</v>
      </c>
      <c r="AM948" s="221" t="s">
        <v>1175</v>
      </c>
      <c r="AN948" s="221" t="s">
        <v>1176</v>
      </c>
      <c r="AO948" s="13"/>
      <c r="AP948" s="13"/>
    </row>
    <row r="949" spans="1:42" ht="15.75">
      <c r="A949" s="187"/>
      <c r="B949" s="351" t="s">
        <v>1394</v>
      </c>
      <c r="C949" s="1608" t="s">
        <v>1395</v>
      </c>
      <c r="D949" s="224">
        <v>74</v>
      </c>
      <c r="E949" s="224">
        <v>20</v>
      </c>
      <c r="F949" s="224">
        <v>400</v>
      </c>
      <c r="G949" s="396">
        <v>72.33387951807228</v>
      </c>
      <c r="H949" s="397">
        <f t="shared" ref="H949:H954" si="512">G949*(1+$H$33)</f>
        <v>77.397251084337341</v>
      </c>
      <c r="I949" s="397">
        <f t="shared" ref="I949:I954" si="513">H949-H949*$J$833</f>
        <v>39.472598053012042</v>
      </c>
      <c r="J949" s="1039">
        <f t="shared" ref="J949:J954" si="514">G949-G949*$J$833</f>
        <v>36.890278554216863</v>
      </c>
      <c r="K949" s="807">
        <v>99</v>
      </c>
      <c r="L949" s="808">
        <v>74</v>
      </c>
      <c r="M949" s="1119">
        <f t="shared" ref="M949:M954" si="515">L949/D949*100%</f>
        <v>1</v>
      </c>
      <c r="N949" s="235">
        <f t="shared" ref="N949:N954" si="516">K949-(K949*$O$33)</f>
        <v>49.5</v>
      </c>
      <c r="O949" s="1295">
        <f t="shared" ref="O949:O954" si="517">((N949/J949)-1)*100%</f>
        <v>0.34181692142147679</v>
      </c>
      <c r="P949" s="1547">
        <f t="shared" ref="P949:P954" si="518">((N949/I949)-1)*100%</f>
        <v>0.25403450600138022</v>
      </c>
      <c r="Q949" s="234">
        <v>0.86989486703772412</v>
      </c>
      <c r="R949" s="235">
        <f t="shared" ref="R949:R954" si="519">Q949*$R$33</f>
        <v>40.913765281385281</v>
      </c>
      <c r="S949" s="236">
        <f t="shared" ref="S949:S954" si="520">((J949-R949)/J949)*100%</f>
        <v>-0.10906631461877374</v>
      </c>
      <c r="T949" s="237">
        <f t="shared" ref="T949:T954" si="521">((I949-R949)/I949)*100%</f>
        <v>-3.6510574410068941E-2</v>
      </c>
      <c r="U949" s="238">
        <v>0.71314</v>
      </c>
      <c r="V949" s="239">
        <f t="shared" ref="V949:V954" si="522">U949*$X$31</f>
        <v>0.85576799999999997</v>
      </c>
      <c r="W949" s="239">
        <f t="shared" ref="W949:W954" si="523">V949*$R$33</f>
        <v>40.249336344</v>
      </c>
      <c r="X949" s="240">
        <f>(ROUND(W949/(1-$AA$947),0))</f>
        <v>50</v>
      </c>
      <c r="Y949" s="239">
        <f t="shared" ref="Y949:Y954" si="524">Z949*(1-$X$33)</f>
        <v>47.94</v>
      </c>
      <c r="Z949" s="240">
        <f t="shared" ref="Z949:Z954" si="525">ROUND(X949/(1-$X$828),0)</f>
        <v>94</v>
      </c>
      <c r="AA949" s="241">
        <f t="shared" ref="AA949:AA954" si="526">((X949-W949)/X949)*100%</f>
        <v>0.19501327312</v>
      </c>
      <c r="AB949" s="241">
        <f t="shared" ref="AB949:AB954" si="527">((Y949-W949)/Y949)*100%</f>
        <v>0.16042268785982475</v>
      </c>
      <c r="AC949" s="242">
        <f t="shared" ref="AC949:AC954" si="528">((N949/Y949)-1)*100%</f>
        <v>3.2540675844806133E-2</v>
      </c>
      <c r="AD949" s="243">
        <f t="shared" ref="AD949:AD954" si="529">((N949*0.96-W949)/(N949*0.96))*100%</f>
        <v>0.15300218131313126</v>
      </c>
      <c r="AE949" s="238">
        <f t="shared" ref="AE949:AE954" si="530">N949/$R$33</f>
        <v>1.0524525333276635</v>
      </c>
      <c r="AF949" s="239">
        <f>(V949/(1-$AA$947))</f>
        <v>1.0565037037037035</v>
      </c>
      <c r="AG949" s="1868">
        <v>1.99</v>
      </c>
      <c r="AH949" s="244">
        <f t="shared" ref="AH949:AH954" si="531">((AF949-V949)/AF949)*100%</f>
        <v>0.18999999999999986</v>
      </c>
      <c r="AI949" s="1374">
        <f t="shared" ref="AI949:AI954" si="532">AJ949/$AJ$955</f>
        <v>0.33009331259720059</v>
      </c>
      <c r="AJ949" s="333">
        <f>[1]Статистика!D313</f>
        <v>849</v>
      </c>
      <c r="AK949" s="270">
        <f t="shared" ref="AK949:AK954" si="533">Q949*S949*AJ949</f>
        <v>-80.549916938300257</v>
      </c>
      <c r="AL949" s="506">
        <f t="shared" ref="AL949:AL954" si="534">AK949/$AK$955</f>
        <v>0.16705281175350256</v>
      </c>
      <c r="AM949" s="77">
        <f t="shared" ref="AM949:AM954" si="535">AJ949/$AJ$1101</f>
        <v>1.1408913465608644E-3</v>
      </c>
      <c r="AN949" s="77">
        <f t="shared" ref="AN949:AN954" si="536">AK949/$AK$1101</f>
        <v>1.0564431658568311E-3</v>
      </c>
      <c r="AO949" s="13"/>
      <c r="AP949" s="13"/>
    </row>
    <row r="950" spans="1:42" ht="15.75">
      <c r="A950" s="187"/>
      <c r="B950" s="1391" t="s">
        <v>1396</v>
      </c>
      <c r="C950" s="1628" t="s">
        <v>1397</v>
      </c>
      <c r="D950" s="251">
        <v>100</v>
      </c>
      <c r="E950" s="251">
        <v>15</v>
      </c>
      <c r="F950" s="251">
        <v>300</v>
      </c>
      <c r="G950" s="328">
        <v>97.815132530120479</v>
      </c>
      <c r="H950" s="504">
        <f t="shared" si="512"/>
        <v>104.66219180722892</v>
      </c>
      <c r="I950" s="504">
        <f t="shared" si="513"/>
        <v>53.377717821686751</v>
      </c>
      <c r="J950" s="690">
        <f t="shared" si="514"/>
        <v>49.885717590361445</v>
      </c>
      <c r="K950" s="254">
        <v>123</v>
      </c>
      <c r="L950" s="322">
        <v>100</v>
      </c>
      <c r="M950" s="385">
        <f t="shared" si="515"/>
        <v>1</v>
      </c>
      <c r="N950" s="258">
        <f t="shared" si="516"/>
        <v>61.5</v>
      </c>
      <c r="O950" s="437">
        <f t="shared" si="517"/>
        <v>0.23281778774858353</v>
      </c>
      <c r="P950" s="1599">
        <f t="shared" si="518"/>
        <v>0.15216615677437706</v>
      </c>
      <c r="Q950" s="257">
        <v>1.1795307167235494</v>
      </c>
      <c r="R950" s="258">
        <f t="shared" si="519"/>
        <v>55.476868199658696</v>
      </c>
      <c r="S950" s="259">
        <f t="shared" si="520"/>
        <v>-0.11207918577435745</v>
      </c>
      <c r="T950" s="260">
        <f t="shared" si="521"/>
        <v>-3.9326341845193777E-2</v>
      </c>
      <c r="U950" s="261">
        <v>0.96333000000000002</v>
      </c>
      <c r="V950" s="239">
        <f t="shared" si="522"/>
        <v>1.155996</v>
      </c>
      <c r="W950" s="262">
        <f t="shared" si="523"/>
        <v>54.369959868000002</v>
      </c>
      <c r="X950" s="240">
        <f>(ROUND(W950/(1-$AB$947),0))</f>
        <v>64</v>
      </c>
      <c r="Y950" s="239">
        <f t="shared" si="524"/>
        <v>61.71</v>
      </c>
      <c r="Z950" s="240">
        <f t="shared" si="525"/>
        <v>121</v>
      </c>
      <c r="AA950" s="264">
        <f t="shared" si="526"/>
        <v>0.15046937706249996</v>
      </c>
      <c r="AB950" s="241">
        <f t="shared" si="527"/>
        <v>0.11894409547885268</v>
      </c>
      <c r="AC950" s="242">
        <f t="shared" si="528"/>
        <v>-3.4030140982013179E-3</v>
      </c>
      <c r="AD950" s="266">
        <f t="shared" si="529"/>
        <v>7.9099595731707259E-2</v>
      </c>
      <c r="AE950" s="261">
        <f t="shared" si="530"/>
        <v>1.307592541407097</v>
      </c>
      <c r="AF950" s="239">
        <f>(V950/(1-$AB$947))</f>
        <v>1.3599952941176472</v>
      </c>
      <c r="AG950" s="1868">
        <v>2.57</v>
      </c>
      <c r="AH950" s="267">
        <f t="shared" si="531"/>
        <v>0.15000000000000008</v>
      </c>
      <c r="AI950" s="1374">
        <f t="shared" si="532"/>
        <v>0.22978227060653189</v>
      </c>
      <c r="AJ950" s="333">
        <f>[1]Статистика!D314</f>
        <v>591</v>
      </c>
      <c r="AK950" s="270">
        <f t="shared" si="533"/>
        <v>-78.130697814795823</v>
      </c>
      <c r="AL950" s="506">
        <f t="shared" si="534"/>
        <v>0.16203558303135726</v>
      </c>
      <c r="AM950" s="77">
        <f t="shared" si="535"/>
        <v>7.9418938258830484E-4</v>
      </c>
      <c r="AN950" s="77">
        <f t="shared" si="536"/>
        <v>1.0247141758481376E-3</v>
      </c>
      <c r="AO950" s="13"/>
      <c r="AP950" s="13"/>
    </row>
    <row r="951" spans="1:42" ht="15.75">
      <c r="A951" s="187"/>
      <c r="B951" s="1391" t="s">
        <v>1398</v>
      </c>
      <c r="C951" s="1628" t="s">
        <v>1399</v>
      </c>
      <c r="D951" s="251">
        <v>130</v>
      </c>
      <c r="E951" s="251">
        <v>10</v>
      </c>
      <c r="F951" s="251">
        <v>250</v>
      </c>
      <c r="G951" s="328">
        <v>127.09802409638554</v>
      </c>
      <c r="H951" s="504">
        <f t="shared" si="512"/>
        <v>135.99488578313253</v>
      </c>
      <c r="I951" s="504">
        <f t="shared" si="513"/>
        <v>69.357391749397593</v>
      </c>
      <c r="J951" s="690">
        <f t="shared" si="514"/>
        <v>64.81999228915663</v>
      </c>
      <c r="K951" s="254">
        <v>176</v>
      </c>
      <c r="L951" s="322">
        <v>130</v>
      </c>
      <c r="M951" s="385">
        <f t="shared" si="515"/>
        <v>1</v>
      </c>
      <c r="N951" s="258">
        <f t="shared" si="516"/>
        <v>88</v>
      </c>
      <c r="O951" s="437">
        <f t="shared" si="517"/>
        <v>0.3576058387578831</v>
      </c>
      <c r="P951" s="1599">
        <f t="shared" si="518"/>
        <v>0.26879050351204037</v>
      </c>
      <c r="Q951" s="273">
        <v>1.5290657769304099</v>
      </c>
      <c r="R951" s="258">
        <f t="shared" si="519"/>
        <v>71.91655068636797</v>
      </c>
      <c r="S951" s="259">
        <f t="shared" si="520"/>
        <v>-0.10948101267204999</v>
      </c>
      <c r="T951" s="260">
        <f t="shared" si="521"/>
        <v>-3.6898142684158891E-2</v>
      </c>
      <c r="U951" s="261">
        <v>1.25292</v>
      </c>
      <c r="V951" s="239">
        <f t="shared" si="522"/>
        <v>1.503504</v>
      </c>
      <c r="W951" s="262">
        <f t="shared" si="523"/>
        <v>70.714303631999996</v>
      </c>
      <c r="X951" s="240">
        <f>(ROUND(W951/(1-$AA$947),0))</f>
        <v>87</v>
      </c>
      <c r="Y951" s="239">
        <f t="shared" si="524"/>
        <v>83.64</v>
      </c>
      <c r="Z951" s="240">
        <f t="shared" si="525"/>
        <v>164</v>
      </c>
      <c r="AA951" s="264">
        <f t="shared" si="526"/>
        <v>0.1871919122758621</v>
      </c>
      <c r="AB951" s="241">
        <f t="shared" si="527"/>
        <v>0.15453965050215213</v>
      </c>
      <c r="AC951" s="242">
        <f t="shared" si="528"/>
        <v>5.212816834050682E-2</v>
      </c>
      <c r="AD951" s="266">
        <f t="shared" si="529"/>
        <v>0.16294621647727267</v>
      </c>
      <c r="AE951" s="261">
        <f t="shared" si="530"/>
        <v>1.8710267259158462</v>
      </c>
      <c r="AF951" s="239">
        <f>(V951/(1-$AA$947))</f>
        <v>1.8561777777777777</v>
      </c>
      <c r="AG951" s="1868">
        <v>3.5</v>
      </c>
      <c r="AH951" s="267">
        <f t="shared" si="531"/>
        <v>0.19</v>
      </c>
      <c r="AI951" s="1372">
        <f t="shared" si="532"/>
        <v>0.19051321928460341</v>
      </c>
      <c r="AJ951" s="338">
        <f>[1]Статистика!D315</f>
        <v>490</v>
      </c>
      <c r="AK951" s="297">
        <f t="shared" si="533"/>
        <v>-82.027798153252931</v>
      </c>
      <c r="AL951" s="866">
        <f t="shared" si="534"/>
        <v>0.17011779582523831</v>
      </c>
      <c r="AM951" s="92">
        <f t="shared" si="535"/>
        <v>6.5846497033548123E-4</v>
      </c>
      <c r="AN951" s="92">
        <f t="shared" si="536"/>
        <v>1.0758261468558166E-3</v>
      </c>
      <c r="AO951" s="13"/>
      <c r="AP951" s="13"/>
    </row>
    <row r="952" spans="1:42" ht="15.75">
      <c r="A952" s="187"/>
      <c r="B952" s="1534" t="s">
        <v>720</v>
      </c>
      <c r="C952" s="926" t="s">
        <v>1400</v>
      </c>
      <c r="D952" s="926">
        <v>198</v>
      </c>
      <c r="E952" s="926">
        <v>8</v>
      </c>
      <c r="F952" s="926">
        <v>200</v>
      </c>
      <c r="G952" s="433">
        <v>185</v>
      </c>
      <c r="H952" s="504">
        <f t="shared" si="512"/>
        <v>197.95000000000002</v>
      </c>
      <c r="I952" s="504">
        <f t="shared" si="513"/>
        <v>100.95450000000001</v>
      </c>
      <c r="J952" s="1536">
        <f t="shared" si="514"/>
        <v>94.350000000000009</v>
      </c>
      <c r="K952" s="928">
        <v>264</v>
      </c>
      <c r="L952" s="929">
        <v>198</v>
      </c>
      <c r="M952" s="495">
        <f t="shared" si="515"/>
        <v>1</v>
      </c>
      <c r="N952" s="650">
        <f t="shared" si="516"/>
        <v>132</v>
      </c>
      <c r="O952" s="1598">
        <f t="shared" si="517"/>
        <v>0.39904610492845771</v>
      </c>
      <c r="P952" s="1599">
        <f t="shared" si="518"/>
        <v>0.30751972423220342</v>
      </c>
      <c r="Q952" s="1570">
        <v>2.3255279503105593</v>
      </c>
      <c r="R952" s="650">
        <f t="shared" si="519"/>
        <v>109.37655608695654</v>
      </c>
      <c r="S952" s="933">
        <f t="shared" si="520"/>
        <v>-0.15926397548443594</v>
      </c>
      <c r="T952" s="260">
        <f t="shared" si="521"/>
        <v>-8.3424276153678437E-2</v>
      </c>
      <c r="U952" s="261">
        <v>1.907945</v>
      </c>
      <c r="V952" s="239">
        <f t="shared" si="522"/>
        <v>2.2895339999999997</v>
      </c>
      <c r="W952" s="262">
        <f t="shared" si="523"/>
        <v>107.683652622</v>
      </c>
      <c r="X952" s="240">
        <f>(ROUND(W952/(1-$AA$947),0))</f>
        <v>133</v>
      </c>
      <c r="Y952" s="239">
        <f t="shared" si="524"/>
        <v>128.01</v>
      </c>
      <c r="Z952" s="240">
        <f t="shared" si="525"/>
        <v>251</v>
      </c>
      <c r="AA952" s="264">
        <f t="shared" si="526"/>
        <v>0.19034847652631581</v>
      </c>
      <c r="AB952" s="241">
        <f t="shared" si="527"/>
        <v>0.15878718364190295</v>
      </c>
      <c r="AC952" s="242">
        <f t="shared" si="528"/>
        <v>3.1169439887508865E-2</v>
      </c>
      <c r="AD952" s="266">
        <f t="shared" si="529"/>
        <v>0.15022370089962123</v>
      </c>
      <c r="AE952" s="261">
        <f t="shared" si="530"/>
        <v>2.8065400888737693</v>
      </c>
      <c r="AF952" s="239">
        <f>(V952/(1-$AA$947))</f>
        <v>2.8265851851851846</v>
      </c>
      <c r="AG952" s="1868">
        <v>5.33</v>
      </c>
      <c r="AH952" s="267">
        <f t="shared" si="531"/>
        <v>0.18999999999999995</v>
      </c>
      <c r="AI952" s="1374">
        <f t="shared" si="532"/>
        <v>0.11936236391912908</v>
      </c>
      <c r="AJ952" s="333">
        <f>[1]Статистика!D316</f>
        <v>307</v>
      </c>
      <c r="AK952" s="270">
        <f t="shared" si="533"/>
        <v>-113.70445772525585</v>
      </c>
      <c r="AL952" s="506">
        <f t="shared" si="534"/>
        <v>0.23581215343103093</v>
      </c>
      <c r="AM952" s="77">
        <f t="shared" si="535"/>
        <v>4.1254846100610758E-4</v>
      </c>
      <c r="AN952" s="77">
        <f t="shared" si="536"/>
        <v>1.4912777300976603E-3</v>
      </c>
      <c r="AO952" s="13"/>
      <c r="AP952" s="13"/>
    </row>
    <row r="953" spans="1:42" ht="15.75">
      <c r="A953" s="187"/>
      <c r="B953" s="1391" t="s">
        <v>1401</v>
      </c>
      <c r="C953" s="1336" t="s">
        <v>1402</v>
      </c>
      <c r="D953" s="377">
        <v>257</v>
      </c>
      <c r="E953" s="377">
        <v>6</v>
      </c>
      <c r="F953" s="377">
        <v>150</v>
      </c>
      <c r="G953" s="689">
        <v>251.31913253012047</v>
      </c>
      <c r="H953" s="504">
        <f t="shared" si="512"/>
        <v>268.91147180722891</v>
      </c>
      <c r="I953" s="504">
        <f t="shared" si="513"/>
        <v>137.14485062168674</v>
      </c>
      <c r="J953" s="690">
        <f t="shared" si="514"/>
        <v>128.17275759036144</v>
      </c>
      <c r="K953" s="254">
        <v>363</v>
      </c>
      <c r="L953" s="322">
        <v>257</v>
      </c>
      <c r="M953" s="385">
        <f t="shared" si="515"/>
        <v>1</v>
      </c>
      <c r="N953" s="258">
        <f t="shared" si="516"/>
        <v>181.5</v>
      </c>
      <c r="O953" s="437">
        <f t="shared" si="517"/>
        <v>0.41605754149467367</v>
      </c>
      <c r="P953" s="1599">
        <f t="shared" si="518"/>
        <v>0.32341826307913424</v>
      </c>
      <c r="Q953" s="257">
        <v>3.018954423592493</v>
      </c>
      <c r="R953" s="258">
        <f t="shared" si="519"/>
        <v>141.99048340482574</v>
      </c>
      <c r="S953" s="259">
        <f t="shared" si="520"/>
        <v>-0.10780548124450579</v>
      </c>
      <c r="T953" s="260">
        <f t="shared" si="521"/>
        <v>-3.5332225462154934E-2</v>
      </c>
      <c r="U953" s="261">
        <v>2.4762899999999997</v>
      </c>
      <c r="V953" s="239">
        <f t="shared" si="522"/>
        <v>2.9715479999999994</v>
      </c>
      <c r="W953" s="262">
        <f t="shared" si="523"/>
        <v>139.76081708399997</v>
      </c>
      <c r="X953" s="240">
        <f>(ROUND(W953/(1-$AA$947),0))</f>
        <v>173</v>
      </c>
      <c r="Y953" s="239">
        <f t="shared" si="524"/>
        <v>166.26</v>
      </c>
      <c r="Z953" s="240">
        <f t="shared" si="525"/>
        <v>326</v>
      </c>
      <c r="AA953" s="264">
        <f t="shared" si="526"/>
        <v>0.19213400529479788</v>
      </c>
      <c r="AB953" s="241">
        <f t="shared" si="527"/>
        <v>0.1593839944424397</v>
      </c>
      <c r="AC953" s="242">
        <f t="shared" si="528"/>
        <v>9.1663659328762304E-2</v>
      </c>
      <c r="AD953" s="266">
        <f t="shared" si="529"/>
        <v>0.19788328119834719</v>
      </c>
      <c r="AE953" s="261">
        <f t="shared" si="530"/>
        <v>3.8589926222014328</v>
      </c>
      <c r="AF953" s="239">
        <f>(V953/(1-$AA$947))</f>
        <v>3.6685777777777768</v>
      </c>
      <c r="AG953" s="1868">
        <v>6.92</v>
      </c>
      <c r="AH953" s="267">
        <f t="shared" si="531"/>
        <v>0.18999999999999995</v>
      </c>
      <c r="AI953" s="1374">
        <f t="shared" si="532"/>
        <v>7.0373250388802489E-2</v>
      </c>
      <c r="AJ953" s="333">
        <f>[1]Статистика!D317</f>
        <v>181</v>
      </c>
      <c r="AK953" s="270">
        <f t="shared" si="533"/>
        <v>-58.908230042801904</v>
      </c>
      <c r="AL953" s="506">
        <f t="shared" si="534"/>
        <v>0.12217002621629108</v>
      </c>
      <c r="AM953" s="77">
        <f t="shared" si="535"/>
        <v>2.432288972055553E-4</v>
      </c>
      <c r="AN953" s="77">
        <f t="shared" si="536"/>
        <v>7.7260411192117803E-4</v>
      </c>
      <c r="AO953" s="13"/>
      <c r="AP953" s="13"/>
    </row>
    <row r="954" spans="1:42" ht="16.5" thickBot="1">
      <c r="A954" s="187"/>
      <c r="B954" s="401" t="s">
        <v>1403</v>
      </c>
      <c r="C954" s="1629" t="s">
        <v>1404</v>
      </c>
      <c r="D954" s="403">
        <v>325</v>
      </c>
      <c r="E954" s="403">
        <v>4</v>
      </c>
      <c r="F954" s="403">
        <v>100</v>
      </c>
      <c r="G954" s="916">
        <v>315</v>
      </c>
      <c r="H954" s="867">
        <f t="shared" si="512"/>
        <v>337.05</v>
      </c>
      <c r="I954" s="867">
        <f t="shared" si="513"/>
        <v>171.8955</v>
      </c>
      <c r="J954" s="1540">
        <f t="shared" si="514"/>
        <v>160.65</v>
      </c>
      <c r="K954" s="1617">
        <v>409</v>
      </c>
      <c r="L954" s="406">
        <v>326</v>
      </c>
      <c r="M954" s="1015">
        <f t="shared" si="515"/>
        <v>1.003076923076923</v>
      </c>
      <c r="N954" s="493">
        <f t="shared" si="516"/>
        <v>204.5</v>
      </c>
      <c r="O954" s="494">
        <f t="shared" si="517"/>
        <v>0.27295362589480221</v>
      </c>
      <c r="P954" s="1650">
        <f t="shared" si="518"/>
        <v>0.18967628588299279</v>
      </c>
      <c r="Q954" s="1605">
        <v>3.8159365994236314</v>
      </c>
      <c r="R954" s="493">
        <f t="shared" si="519"/>
        <v>179.47494608069167</v>
      </c>
      <c r="S954" s="1606">
        <f t="shared" si="520"/>
        <v>-0.1171798697833281</v>
      </c>
      <c r="T954" s="287">
        <f t="shared" si="521"/>
        <v>-4.4093336246101074E-2</v>
      </c>
      <c r="U954" s="261">
        <v>3.1313149999999998</v>
      </c>
      <c r="V954" s="239">
        <f t="shared" si="522"/>
        <v>3.7575779999999996</v>
      </c>
      <c r="W954" s="289">
        <f t="shared" si="523"/>
        <v>176.73016607399998</v>
      </c>
      <c r="X954" s="240">
        <f>(ROUND(W954/(1-$AB$947),0))</f>
        <v>208</v>
      </c>
      <c r="Y954" s="291">
        <f t="shared" si="524"/>
        <v>199.92000000000002</v>
      </c>
      <c r="Z954" s="240">
        <f t="shared" si="525"/>
        <v>392</v>
      </c>
      <c r="AA954" s="292">
        <f t="shared" si="526"/>
        <v>0.15033574002884625</v>
      </c>
      <c r="AB954" s="241">
        <f t="shared" si="527"/>
        <v>0.11599556785714302</v>
      </c>
      <c r="AC954" s="345">
        <f t="shared" si="528"/>
        <v>2.2909163665466137E-2</v>
      </c>
      <c r="AD954" s="294">
        <f t="shared" si="529"/>
        <v>9.9785217634474385E-2</v>
      </c>
      <c r="AE954" s="288">
        <f t="shared" si="530"/>
        <v>4.3480109710203472</v>
      </c>
      <c r="AF954" s="239">
        <f>(V954/(1-$AB$947))</f>
        <v>4.4206799999999999</v>
      </c>
      <c r="AG954" s="1868">
        <v>8.34</v>
      </c>
      <c r="AH954" s="295">
        <f t="shared" si="531"/>
        <v>0.15000000000000008</v>
      </c>
      <c r="AI954" s="1374">
        <f t="shared" si="532"/>
        <v>5.9875583203732506E-2</v>
      </c>
      <c r="AJ954" s="333">
        <f>[1]Статистика!D318</f>
        <v>154</v>
      </c>
      <c r="AK954" s="270">
        <f t="shared" si="533"/>
        <v>-68.861246888572126</v>
      </c>
      <c r="AL954" s="506">
        <f t="shared" si="534"/>
        <v>0.14281162974257994</v>
      </c>
      <c r="AM954" s="77">
        <f t="shared" si="535"/>
        <v>2.0694613353400838E-4</v>
      </c>
      <c r="AN954" s="77">
        <f t="shared" si="536"/>
        <v>9.0314175896091375E-4</v>
      </c>
      <c r="AO954" s="13"/>
      <c r="AP954" s="13"/>
    </row>
    <row r="955" spans="1:42" ht="15.75" thickBot="1">
      <c r="A955" s="187"/>
      <c r="B955" s="413"/>
      <c r="C955" s="414"/>
      <c r="D955" s="414"/>
      <c r="E955" s="414"/>
      <c r="F955" s="414"/>
      <c r="G955" s="827"/>
      <c r="H955" s="785"/>
      <c r="I955" s="785"/>
      <c r="J955" s="897"/>
      <c r="K955" s="533"/>
      <c r="P955" s="1209"/>
      <c r="Q955" s="1091"/>
      <c r="R955" s="1092"/>
      <c r="S955" s="364"/>
      <c r="T955" s="364"/>
      <c r="U955" s="872"/>
      <c r="V955" s="872"/>
      <c r="W955" s="872"/>
      <c r="X955" s="872"/>
      <c r="Y955" s="872"/>
      <c r="Z955" s="872"/>
      <c r="AA955" s="364"/>
      <c r="AB955" s="364"/>
      <c r="AC955" s="364"/>
      <c r="AD955" s="364">
        <f>AVERAGE(AD949:AD954)</f>
        <v>0.14049003220909231</v>
      </c>
      <c r="AE955" s="872"/>
      <c r="AF955" s="872"/>
      <c r="AG955" s="1882"/>
      <c r="AH955" s="364"/>
      <c r="AI955" s="512">
        <f>S949*AI949+S950*AI950+S951*AI951+S952*AI952+S953*AI953+S954*AI954</f>
        <v>-0.11622641082383303</v>
      </c>
      <c r="AJ955" s="513">
        <f>SUM(AJ949:AJ954)</f>
        <v>2572</v>
      </c>
      <c r="AK955" s="514">
        <f>SUM(AK949:AK954)</f>
        <v>-482.18234756297886</v>
      </c>
      <c r="AM955" s="307">
        <f>SUM(AM949:AM954)</f>
        <v>3.4562691912303216E-3</v>
      </c>
      <c r="AN955" s="307">
        <f>SUM(AN949:AN954)</f>
        <v>6.3240070895405369E-3</v>
      </c>
      <c r="AO955" s="13"/>
      <c r="AP955" s="13"/>
    </row>
    <row r="956" spans="1:42">
      <c r="B956" s="413"/>
      <c r="C956" s="157" t="s">
        <v>1405</v>
      </c>
      <c r="E956" s="414"/>
      <c r="F956" s="414"/>
      <c r="G956" s="827"/>
      <c r="H956" s="785"/>
      <c r="I956" s="785"/>
      <c r="J956" s="897"/>
      <c r="K956" s="533"/>
      <c r="AO956" s="13"/>
      <c r="AP956" s="13"/>
    </row>
    <row r="957" spans="1:42" ht="15.75" thickBot="1">
      <c r="A957" s="149" t="s">
        <v>725</v>
      </c>
      <c r="B957" s="413"/>
      <c r="C957" s="148" t="s">
        <v>27</v>
      </c>
      <c r="E957" s="414"/>
      <c r="F957" s="414"/>
      <c r="G957" s="827"/>
      <c r="H957" s="785"/>
      <c r="I957" s="785"/>
      <c r="J957" s="897"/>
      <c r="K957" s="2309" t="s">
        <v>1406</v>
      </c>
      <c r="L957" s="2309"/>
      <c r="M957" s="2309"/>
      <c r="N957" s="2309"/>
      <c r="O957" s="2309"/>
      <c r="P957" s="1852"/>
      <c r="T957" s="1851"/>
      <c r="U957" s="309"/>
      <c r="V957" s="309"/>
      <c r="W957" s="309"/>
      <c r="X957" s="309"/>
      <c r="Y957" s="309"/>
      <c r="Z957" s="309"/>
      <c r="AA957" s="346">
        <v>0.17</v>
      </c>
      <c r="AB957" s="628"/>
      <c r="AC957" s="628"/>
      <c r="AD957" s="585"/>
      <c r="AE957" s="188"/>
      <c r="AF957" s="188"/>
      <c r="AG957" s="1866"/>
      <c r="AH957" s="1851"/>
      <c r="AO957" s="13"/>
      <c r="AP957" s="13"/>
    </row>
    <row r="958" spans="1:42" ht="60.75" thickBot="1">
      <c r="A958" s="187"/>
      <c r="B958" s="369" t="s">
        <v>10</v>
      </c>
      <c r="C958" s="1334" t="s">
        <v>11</v>
      </c>
      <c r="D958" s="370" t="s">
        <v>12</v>
      </c>
      <c r="E958" s="370" t="s">
        <v>13</v>
      </c>
      <c r="F958" s="370" t="s">
        <v>14</v>
      </c>
      <c r="G958" s="1082" t="s">
        <v>15</v>
      </c>
      <c r="H958" s="1083" t="s">
        <v>1090</v>
      </c>
      <c r="I958" s="372">
        <f>$C$20</f>
        <v>0.49</v>
      </c>
      <c r="J958" s="684">
        <f>$C$20</f>
        <v>0.49</v>
      </c>
      <c r="K958" s="548" t="s">
        <v>15</v>
      </c>
      <c r="L958" s="423" t="s">
        <v>12</v>
      </c>
      <c r="M958" s="196" t="s">
        <v>1091</v>
      </c>
      <c r="N958" s="549" t="s">
        <v>993</v>
      </c>
      <c r="O958" s="424" t="s">
        <v>1092</v>
      </c>
      <c r="P958" s="772" t="s">
        <v>1092</v>
      </c>
      <c r="Q958" s="200" t="s">
        <v>1093</v>
      </c>
      <c r="R958" s="201" t="s">
        <v>1094</v>
      </c>
      <c r="S958" s="350" t="s">
        <v>1095</v>
      </c>
      <c r="T958" s="203" t="s">
        <v>1095</v>
      </c>
      <c r="U958" s="204" t="s">
        <v>1096</v>
      </c>
      <c r="V958" s="205" t="s">
        <v>1093</v>
      </c>
      <c r="W958" s="206" t="s">
        <v>1094</v>
      </c>
      <c r="X958" s="207" t="s">
        <v>1097</v>
      </c>
      <c r="Y958" s="208">
        <f>$X$33</f>
        <v>0.49</v>
      </c>
      <c r="Z958" s="207" t="s">
        <v>1098</v>
      </c>
      <c r="AA958" s="209" t="s">
        <v>1099</v>
      </c>
      <c r="AB958" s="209" t="s">
        <v>1100</v>
      </c>
      <c r="AC958" s="210" t="s">
        <v>1092</v>
      </c>
      <c r="AD958" s="211" t="s">
        <v>1101</v>
      </c>
      <c r="AE958" s="212" t="s">
        <v>1102</v>
      </c>
      <c r="AF958" s="208" t="s">
        <v>1103</v>
      </c>
      <c r="AG958" s="1867" t="s">
        <v>1104</v>
      </c>
      <c r="AH958" s="213" t="s">
        <v>1105</v>
      </c>
      <c r="AI958" s="220" t="s">
        <v>1106</v>
      </c>
      <c r="AJ958" s="483" t="s">
        <v>1107</v>
      </c>
      <c r="AK958" s="484" t="s">
        <v>1108</v>
      </c>
      <c r="AL958" s="221" t="s">
        <v>1109</v>
      </c>
      <c r="AM958" s="221" t="s">
        <v>1175</v>
      </c>
      <c r="AN958" s="221" t="s">
        <v>1176</v>
      </c>
      <c r="AO958" s="13"/>
      <c r="AP958" s="13"/>
    </row>
    <row r="959" spans="1:42" ht="15.75">
      <c r="A959" s="187"/>
      <c r="B959" s="1391" t="s">
        <v>1407</v>
      </c>
      <c r="C959" s="1336" t="s">
        <v>1408</v>
      </c>
      <c r="D959" s="377">
        <v>95</v>
      </c>
      <c r="E959" s="377">
        <v>15</v>
      </c>
      <c r="F959" s="377">
        <v>300</v>
      </c>
      <c r="G959" s="1651">
        <v>92.883277108433731</v>
      </c>
      <c r="H959" s="1646">
        <f>G959*(1+$H$33)</f>
        <v>99.385106506024101</v>
      </c>
      <c r="I959" s="504">
        <f>H959-H959*$J$833</f>
        <v>50.686404318072292</v>
      </c>
      <c r="J959" s="690">
        <f>G959-G959*$J$833</f>
        <v>47.370471325301203</v>
      </c>
      <c r="K959" s="807">
        <v>134</v>
      </c>
      <c r="L959" s="808">
        <v>97</v>
      </c>
      <c r="M959" s="1119">
        <f>L959/D959*100%</f>
        <v>1.0210526315789474</v>
      </c>
      <c r="N959" s="235">
        <f>K959-(K959*$O$33)</f>
        <v>67</v>
      </c>
      <c r="O959" s="1295">
        <f>((N959/J959)-1)*100%</f>
        <v>0.41438322493984558</v>
      </c>
      <c r="P959" s="856">
        <f>((N959/I959)-1)*100%</f>
        <v>0.32185348125219204</v>
      </c>
      <c r="Q959" s="234">
        <v>1.1499999999999999</v>
      </c>
      <c r="R959" s="235">
        <f>Q959*$R$33</f>
        <v>54.087949999999999</v>
      </c>
      <c r="S959" s="236">
        <f>((J959-R959)/J959)*100%</f>
        <v>-0.14180730076694215</v>
      </c>
      <c r="T959" s="237">
        <f>((I959-R959)/I959)*100%</f>
        <v>-6.7109626884992571E-2</v>
      </c>
      <c r="U959" s="238">
        <v>0.91506500000000002</v>
      </c>
      <c r="V959" s="239">
        <f>U959*$X$31</f>
        <v>1.0980779999999999</v>
      </c>
      <c r="W959" s="239">
        <f>V959*$R$33</f>
        <v>51.645902573999997</v>
      </c>
      <c r="X959" s="240">
        <f>(ROUND(W959/(1-$AA$957),0))</f>
        <v>62</v>
      </c>
      <c r="Y959" s="239">
        <f>Z959*(1-$X$33)</f>
        <v>59.67</v>
      </c>
      <c r="Z959" s="240">
        <f>ROUND(X959/(1-$X$828),0)</f>
        <v>117</v>
      </c>
      <c r="AA959" s="241">
        <f>((X959-W959)/X959)*100%</f>
        <v>0.16700157138709681</v>
      </c>
      <c r="AB959" s="241">
        <f>((Y959-W959)/Y959)*100%</f>
        <v>0.13447456721970846</v>
      </c>
      <c r="AC959" s="242">
        <f>((N959/Y959)-1)*100%</f>
        <v>0.12284229931288748</v>
      </c>
      <c r="AD959" s="243">
        <f>((N959*0.96-W959)/(N959*0.96))*100%</f>
        <v>0.19704753460820892</v>
      </c>
      <c r="AE959" s="238">
        <f>N959/$R$33</f>
        <v>1.4245317117768375</v>
      </c>
      <c r="AF959" s="239">
        <f>(V959/(1-$AA$957))</f>
        <v>1.3229855421686747</v>
      </c>
      <c r="AG959" s="1868">
        <v>2.5</v>
      </c>
      <c r="AH959" s="244">
        <f>((AF959-V959)/AF959)*100%</f>
        <v>0.1700000000000001</v>
      </c>
      <c r="AI959" s="92">
        <f>AJ959/$AJ$955</f>
        <v>0.70839813374805594</v>
      </c>
      <c r="AJ959" s="338">
        <f>[1]Статистика!D362</f>
        <v>1822</v>
      </c>
      <c r="AK959" s="297">
        <f>Q959*S959*AJ959</f>
        <v>-297.12883729697381</v>
      </c>
      <c r="AL959" s="866">
        <f>AK959/$AK$964</f>
        <v>0.51577959689683683</v>
      </c>
      <c r="AM959" s="92">
        <f>AJ959/$AJ$1101</f>
        <v>2.4484146447984628E-3</v>
      </c>
      <c r="AN959" s="92">
        <f>AK959/$AK$1101</f>
        <v>3.8969590717494551E-3</v>
      </c>
      <c r="AO959" s="13"/>
      <c r="AP959" s="13"/>
    </row>
    <row r="960" spans="1:42" ht="15.75">
      <c r="A960" s="187"/>
      <c r="B960" s="1391" t="s">
        <v>1409</v>
      </c>
      <c r="C960" s="1628" t="s">
        <v>1399</v>
      </c>
      <c r="D960" s="251">
        <v>115</v>
      </c>
      <c r="E960" s="251">
        <v>10</v>
      </c>
      <c r="F960" s="251">
        <v>250</v>
      </c>
      <c r="G960" s="1578">
        <v>112.40520481927712</v>
      </c>
      <c r="H960" s="1646">
        <f>G960*(1+$H$33)</f>
        <v>120.27356915662652</v>
      </c>
      <c r="I960" s="504">
        <f>H960-H960*$J$833</f>
        <v>61.339520269879529</v>
      </c>
      <c r="J960" s="690">
        <f>G960-G960*$J$833</f>
        <v>57.326654457831332</v>
      </c>
      <c r="K960" s="254">
        <v>160</v>
      </c>
      <c r="L960" s="322">
        <v>117</v>
      </c>
      <c r="M960" s="385">
        <f>L960/D960*100%</f>
        <v>1.017391304347826</v>
      </c>
      <c r="N960" s="258">
        <f>K960-(K960*$O$33)</f>
        <v>80</v>
      </c>
      <c r="O960" s="437">
        <f>((N960/J960)-1)*100%</f>
        <v>0.39551140314400968</v>
      </c>
      <c r="P960" s="1652">
        <f>((N960/I960)-1)*100%</f>
        <v>0.30421626462056972</v>
      </c>
      <c r="Q960" s="257">
        <v>1.3499899799599198</v>
      </c>
      <c r="R960" s="258">
        <f>Q960*$R$33</f>
        <v>63.494078727454905</v>
      </c>
      <c r="S960" s="259">
        <f>((J960-R960)/J960)*100%</f>
        <v>-0.10758388620358515</v>
      </c>
      <c r="T960" s="260">
        <f>((I960-R960)/I960)*100%</f>
        <v>-3.5125127293070171E-2</v>
      </c>
      <c r="U960" s="261">
        <v>1.10714</v>
      </c>
      <c r="V960" s="239">
        <f>U960*$X$31</f>
        <v>1.328568</v>
      </c>
      <c r="W960" s="262">
        <f>V960*$R$33</f>
        <v>62.486538744000001</v>
      </c>
      <c r="X960" s="240">
        <f>(ROUND(W960/(1-$AA$957),0))</f>
        <v>75</v>
      </c>
      <c r="Y960" s="239">
        <f>Z960*(1-$X$33)</f>
        <v>72.42</v>
      </c>
      <c r="Z960" s="240">
        <f>ROUND(X960/(1-$X$828),0)</f>
        <v>142</v>
      </c>
      <c r="AA960" s="264">
        <f>((X960-W960)/X960)*100%</f>
        <v>0.16684615008000001</v>
      </c>
      <c r="AB960" s="241">
        <f>((Y960-W960)/Y960)*100%</f>
        <v>0.1371646127589064</v>
      </c>
      <c r="AC960" s="242">
        <f>((N960/Y960)-1)*100%</f>
        <v>0.1046672190002762</v>
      </c>
      <c r="AD960" s="266">
        <f>((N960*0.96-W960)/(N960*0.96))*100%</f>
        <v>0.18637319343749997</v>
      </c>
      <c r="AE960" s="261">
        <f>N960/$R$33</f>
        <v>1.7009333871962238</v>
      </c>
      <c r="AF960" s="239">
        <f>(V960/(1-$AA$957))</f>
        <v>1.6006843373493975</v>
      </c>
      <c r="AG960" s="1868">
        <v>3.02</v>
      </c>
      <c r="AH960" s="267">
        <f>((AF960-V960)/AF960)*100%</f>
        <v>0.16999999999999998</v>
      </c>
      <c r="AI960" s="77">
        <f>AJ960/$AJ$955</f>
        <v>0.18234836702954899</v>
      </c>
      <c r="AJ960" s="333">
        <f>[1]Статистика!D363</f>
        <v>469</v>
      </c>
      <c r="AK960" s="270">
        <f>Q960*S960*AJ960</f>
        <v>-68.116231970214471</v>
      </c>
      <c r="AL960" s="506">
        <f>AK960/$AK$964</f>
        <v>0.11824151094635764</v>
      </c>
      <c r="AM960" s="77">
        <f>AJ960/$AJ$1101</f>
        <v>6.3024504303538914E-4</v>
      </c>
      <c r="AN960" s="77">
        <f>AK960/$AK$1101</f>
        <v>8.9337060153609339E-4</v>
      </c>
      <c r="AO960" s="13"/>
      <c r="AP960" s="13"/>
    </row>
    <row r="961" spans="1:42" ht="15.75">
      <c r="A961" s="187"/>
      <c r="B961" s="1391" t="s">
        <v>1410</v>
      </c>
      <c r="C961" s="1628" t="s">
        <v>1411</v>
      </c>
      <c r="D961" s="251">
        <v>176</v>
      </c>
      <c r="E961" s="251">
        <v>8</v>
      </c>
      <c r="F961" s="251">
        <v>200</v>
      </c>
      <c r="G961" s="1578">
        <v>172.10120481927711</v>
      </c>
      <c r="H961" s="1646">
        <f>G961*(1+$H$33)</f>
        <v>184.14828915662653</v>
      </c>
      <c r="I961" s="504">
        <f>H961-H961*$J$833</f>
        <v>93.915627469879539</v>
      </c>
      <c r="J961" s="690">
        <f>G961-G961*$J$833</f>
        <v>87.771614457831333</v>
      </c>
      <c r="K961" s="254">
        <v>243</v>
      </c>
      <c r="L961" s="322">
        <v>176</v>
      </c>
      <c r="M961" s="385">
        <f>L961/D961*100%</f>
        <v>1</v>
      </c>
      <c r="N961" s="258">
        <f>K961-(K961*$O$33)</f>
        <v>121.5</v>
      </c>
      <c r="O961" s="437">
        <f>((N961/J961)-1)*100%</f>
        <v>0.38427441206943969</v>
      </c>
      <c r="P961" s="1652">
        <f>((N961/I961)-1)*100%</f>
        <v>0.29371440380321445</v>
      </c>
      <c r="Q961" s="273">
        <v>2.0661059413027916</v>
      </c>
      <c r="R961" s="258">
        <f>Q961*$R$33</f>
        <v>97.175160737294192</v>
      </c>
      <c r="S961" s="259">
        <f>((J961-R961)/J961)*100%</f>
        <v>-0.10713653084256144</v>
      </c>
      <c r="T961" s="260">
        <f>((I961-R961)/I961)*100%</f>
        <v>-3.4707038170618043E-2</v>
      </c>
      <c r="U961" s="261">
        <v>1.69617</v>
      </c>
      <c r="V961" s="239">
        <f>U961*$X$31</f>
        <v>2.0354039999999998</v>
      </c>
      <c r="W961" s="262">
        <f>V961*$R$33</f>
        <v>95.731156331999998</v>
      </c>
      <c r="X961" s="240">
        <f>(ROUND(W961/(1-$AA$957),0))</f>
        <v>115</v>
      </c>
      <c r="Y961" s="239">
        <f>Z961*(1-$X$33)</f>
        <v>110.67</v>
      </c>
      <c r="Z961" s="240">
        <f>ROUND(X961/(1-$X$828),0)</f>
        <v>217</v>
      </c>
      <c r="AA961" s="264">
        <f>((X961-W961)/X961)*100%</f>
        <v>0.1675551623304348</v>
      </c>
      <c r="AB961" s="241">
        <f>((Y961-W961)/Y961)*100%</f>
        <v>0.13498548538899435</v>
      </c>
      <c r="AC961" s="242">
        <f>((N961/Y961)-1)*100%</f>
        <v>9.7858498238004854E-2</v>
      </c>
      <c r="AD961" s="266">
        <f>((N961*0.96-W961)/(N961*0.96))*100%</f>
        <v>0.17925963364197534</v>
      </c>
      <c r="AE961" s="261">
        <f>N961/$R$33</f>
        <v>2.5832925818042649</v>
      </c>
      <c r="AF961" s="239">
        <f>(V961/(1-$AA$957))</f>
        <v>2.4522939759036144</v>
      </c>
      <c r="AG961" s="1868">
        <v>4.63</v>
      </c>
      <c r="AH961" s="267">
        <f>((AF961-V961)/AF961)*100%</f>
        <v>0.17000000000000007</v>
      </c>
      <c r="AI961" s="77">
        <f>AJ961/$AJ$955</f>
        <v>0.12908242612752721</v>
      </c>
      <c r="AJ961" s="333">
        <f>[1]Статистика!D364</f>
        <v>332</v>
      </c>
      <c r="AK961" s="270">
        <f>Q961*S961*AJ961</f>
        <v>-73.490000404256151</v>
      </c>
      <c r="AL961" s="506">
        <f>AK961/$AK$964</f>
        <v>0.12756972069517017</v>
      </c>
      <c r="AM961" s="77">
        <f>AJ961/$AJ$1101</f>
        <v>4.4614361255383624E-4</v>
      </c>
      <c r="AN961" s="77">
        <f>AK961/$AK$1101</f>
        <v>9.638496430152924E-4</v>
      </c>
      <c r="AO961" s="13"/>
      <c r="AP961" s="13"/>
    </row>
    <row r="962" spans="1:42" ht="15.75">
      <c r="A962" s="187"/>
      <c r="B962" s="1391" t="s">
        <v>1412</v>
      </c>
      <c r="C962" s="251" t="s">
        <v>1413</v>
      </c>
      <c r="D962" s="251">
        <v>242</v>
      </c>
      <c r="E962" s="251">
        <v>6</v>
      </c>
      <c r="F962" s="251">
        <v>150</v>
      </c>
      <c r="G962" s="1578">
        <v>236.62631325301203</v>
      </c>
      <c r="H962" s="1646">
        <f>G962*(1+$H$33)</f>
        <v>253.19015518072288</v>
      </c>
      <c r="I962" s="504">
        <f>H962-H962*$J$833</f>
        <v>129.12697914216869</v>
      </c>
      <c r="J962" s="690">
        <f>G962-G962*$J$833</f>
        <v>120.67941975903614</v>
      </c>
      <c r="K962" s="254">
        <v>320</v>
      </c>
      <c r="L962" s="322">
        <v>242</v>
      </c>
      <c r="M962" s="385">
        <f>L962/D962*100%</f>
        <v>1</v>
      </c>
      <c r="N962" s="258">
        <f>K962-(K962*$O$33)</f>
        <v>160</v>
      </c>
      <c r="O962" s="437">
        <f>((N962/J962)-1)*100%</f>
        <v>0.32582672604389651</v>
      </c>
      <c r="P962" s="1652">
        <f>((N962/I962)-1)*100%</f>
        <v>0.23909039817186573</v>
      </c>
      <c r="Q962" s="257">
        <v>2.8410242587601076</v>
      </c>
      <c r="R962" s="258">
        <f>Q962*$R$33</f>
        <v>133.62189396226415</v>
      </c>
      <c r="S962" s="259">
        <f>((J962-R962)/J962)*100%</f>
        <v>-0.10724673874858369</v>
      </c>
      <c r="T962" s="260">
        <f>((I962-R962)/I962)*100%</f>
        <v>-3.4810036213629394E-2</v>
      </c>
      <c r="U962" s="261">
        <v>2.3314949999999999</v>
      </c>
      <c r="V962" s="239">
        <f>U962*$X$31</f>
        <v>2.7977939999999997</v>
      </c>
      <c r="W962" s="262">
        <f>V962*$R$33</f>
        <v>131.58864520199998</v>
      </c>
      <c r="X962" s="240">
        <f>(ROUND(W962/(1-$AA$957),0))</f>
        <v>159</v>
      </c>
      <c r="Y962" s="239">
        <f>Z962*(1-$X$33)</f>
        <v>153</v>
      </c>
      <c r="Z962" s="240">
        <f>ROUND(X962/(1-$X$828),0)</f>
        <v>300</v>
      </c>
      <c r="AA962" s="264">
        <f>((X962-W962)/X962)*100%</f>
        <v>0.17239845784905672</v>
      </c>
      <c r="AB962" s="241">
        <f>((Y962-W962)/Y962)*100%</f>
        <v>0.13994349541176482</v>
      </c>
      <c r="AC962" s="242">
        <f>((N962/Y962)-1)*100%</f>
        <v>4.5751633986928164E-2</v>
      </c>
      <c r="AD962" s="266">
        <f>((N962*0.96-W962)/(N962*0.96))*100%</f>
        <v>0.14330309113281259</v>
      </c>
      <c r="AE962" s="261">
        <f>N962/$R$33</f>
        <v>3.4018667743924476</v>
      </c>
      <c r="AF962" s="239">
        <f>(V962/(1-$AA$957))</f>
        <v>3.370836144578313</v>
      </c>
      <c r="AG962" s="1868">
        <f>AF962/(1-$X$828)</f>
        <v>6.3600681973175712</v>
      </c>
      <c r="AH962" s="267">
        <f>((AF962-V962)/AF962)*100%</f>
        <v>0.17000000000000004</v>
      </c>
      <c r="AI962" s="77">
        <f>AJ962/$AJ$955</f>
        <v>6.8818040435458791E-2</v>
      </c>
      <c r="AJ962" s="333">
        <f>[1]Статистика!D365</f>
        <v>177</v>
      </c>
      <c r="AK962" s="270">
        <f>Q962*S962*AJ962</f>
        <v>-53.930233803001194</v>
      </c>
      <c r="AL962" s="506">
        <f>AK962/$AK$964</f>
        <v>9.3616339984067307E-2</v>
      </c>
      <c r="AM962" s="77">
        <f>AJ962/$AJ$1101</f>
        <v>2.3785367295791872E-4</v>
      </c>
      <c r="AN962" s="77">
        <f>AK962/$AK$1101</f>
        <v>7.0731577510977283E-4</v>
      </c>
      <c r="AO962" s="13"/>
      <c r="AP962" s="13"/>
    </row>
    <row r="963" spans="1:42" ht="16.5" thickBot="1">
      <c r="A963" s="187"/>
      <c r="B963" s="473" t="s">
        <v>1414</v>
      </c>
      <c r="C963" s="1653" t="s">
        <v>1415</v>
      </c>
      <c r="D963" s="1438">
        <v>300</v>
      </c>
      <c r="E963" s="1438">
        <v>4</v>
      </c>
      <c r="F963" s="1438">
        <v>100</v>
      </c>
      <c r="G963" s="1654">
        <v>276.67545454545456</v>
      </c>
      <c r="H963" s="1640">
        <f>G963*(1+$H$33)</f>
        <v>296.04273636363638</v>
      </c>
      <c r="I963" s="867">
        <f>H963-H963*$J$833</f>
        <v>150.98179554545456</v>
      </c>
      <c r="J963" s="1323">
        <f>G963-G963*$J$833</f>
        <v>141.10448181818182</v>
      </c>
      <c r="K963" s="279">
        <v>396</v>
      </c>
      <c r="L963" s="341">
        <v>297</v>
      </c>
      <c r="M963" s="896">
        <f>L963/D963*100%</f>
        <v>0.99</v>
      </c>
      <c r="N963" s="285">
        <f>K963-(K963*$O$33)</f>
        <v>198</v>
      </c>
      <c r="O963" s="448">
        <f>((N963/J963)-1)*100%</f>
        <v>0.40321552830001584</v>
      </c>
      <c r="P963" s="1655">
        <f>((N963/I963)-1)*100%</f>
        <v>0.31141638158879981</v>
      </c>
      <c r="Q963" s="257">
        <v>3.5224858757062147</v>
      </c>
      <c r="R963" s="258">
        <f>Q963*$R$33</f>
        <v>165.6730781920904</v>
      </c>
      <c r="S963" s="259">
        <f>((J963-R963)/J963)*100%</f>
        <v>-0.17411634313335342</v>
      </c>
      <c r="T963" s="260">
        <f>((I963-R963)/I963)*100%</f>
        <v>-9.7304993582573246E-2</v>
      </c>
      <c r="U963" s="261">
        <v>2.8899900000000001</v>
      </c>
      <c r="V963" s="239">
        <f>U963*$X$31</f>
        <v>3.4679880000000001</v>
      </c>
      <c r="W963" s="262">
        <f>V963*$R$33</f>
        <v>163.10987960400001</v>
      </c>
      <c r="X963" s="240">
        <f>(ROUND(W963/(1-$AA$957),0))</f>
        <v>197</v>
      </c>
      <c r="Y963" s="239">
        <f>Z963*(1-$X$33)</f>
        <v>189.72</v>
      </c>
      <c r="Z963" s="240">
        <f>ROUND(X963/(1-$X$828),0)</f>
        <v>372</v>
      </c>
      <c r="AA963" s="264">
        <f>((X963-W963)/X963)*100%</f>
        <v>0.17203106799999993</v>
      </c>
      <c r="AB963" s="241">
        <f>((Y963-W963)/Y963)*100%</f>
        <v>0.14025996413662231</v>
      </c>
      <c r="AC963" s="242">
        <f>((N963/Y963)-1)*100%</f>
        <v>4.3643263757115802E-2</v>
      </c>
      <c r="AD963" s="266">
        <f>((N963*0.96-W963)/(N963*0.96))*100%</f>
        <v>0.14188825965909077</v>
      </c>
      <c r="AE963" s="261">
        <f>N963/$R$33</f>
        <v>4.2098101333106541</v>
      </c>
      <c r="AF963" s="239">
        <f>(V963/(1-$AA$957))</f>
        <v>4.1782987951807229</v>
      </c>
      <c r="AG963" s="1868">
        <v>7.88</v>
      </c>
      <c r="AH963" s="267">
        <f>((AF963-V963)/AF963)*100%</f>
        <v>0.16999999999999998</v>
      </c>
      <c r="AI963" s="77">
        <f>AJ963/$AJ$955</f>
        <v>5.2877138413685847E-2</v>
      </c>
      <c r="AJ963" s="333">
        <f>[1]Статистика!D366</f>
        <v>136</v>
      </c>
      <c r="AK963" s="270">
        <f>Q963*S963*AJ963</f>
        <v>-83.411840880692168</v>
      </c>
      <c r="AL963" s="506">
        <f>AK963/$AK$964</f>
        <v>0.14479283147756816</v>
      </c>
      <c r="AM963" s="77">
        <f>AJ963/$AJ$1101</f>
        <v>1.8275762441964376E-4</v>
      </c>
      <c r="AN963" s="77">
        <f>AK963/$AK$1101</f>
        <v>1.0939783999708262E-3</v>
      </c>
      <c r="AO963" s="13"/>
      <c r="AP963" s="13"/>
    </row>
    <row r="964" spans="1:42" ht="15.75" thickBot="1">
      <c r="A964" s="187"/>
      <c r="B964" s="413"/>
      <c r="C964" s="414"/>
      <c r="D964" s="414"/>
      <c r="E964" s="414"/>
      <c r="F964" s="414"/>
      <c r="G964" s="827"/>
      <c r="H964" s="785"/>
      <c r="I964" s="785"/>
      <c r="J964" s="897"/>
      <c r="K964" s="533"/>
      <c r="P964" s="886"/>
      <c r="Q964" s="1091"/>
      <c r="R964" s="1092"/>
      <c r="S964" s="364"/>
      <c r="T964" s="364"/>
      <c r="U964" s="872"/>
      <c r="V964" s="872"/>
      <c r="W964" s="872"/>
      <c r="X964" s="872"/>
      <c r="Y964" s="872"/>
      <c r="Z964" s="872"/>
      <c r="AA964" s="364"/>
      <c r="AB964" s="364"/>
      <c r="AC964" s="364"/>
      <c r="AD964" s="364">
        <f>AVERAGE(AD959:AD963)</f>
        <v>0.16957434249591755</v>
      </c>
      <c r="AE964" s="872"/>
      <c r="AF964" s="872"/>
      <c r="AG964" s="1882"/>
      <c r="AH964" s="364"/>
      <c r="AI964" s="512">
        <f>S959*AI959+S960*AI960+S961*AI961+S962*AI962+S963*AI963</f>
        <v>-0.15049050089083041</v>
      </c>
      <c r="AJ964" s="513">
        <f>SUM(AJ959:AJ963)</f>
        <v>2936</v>
      </c>
      <c r="AK964" s="514">
        <f>SUM(AK959:AK963)</f>
        <v>-576.07714435513776</v>
      </c>
      <c r="AM964" s="307">
        <f>SUM(AM959:AM963)</f>
        <v>3.9454145977652509E-3</v>
      </c>
      <c r="AN964" s="307">
        <f>SUM(AN959:AN963)</f>
        <v>7.5554734913814391E-3</v>
      </c>
      <c r="AO964" s="13"/>
      <c r="AP964" s="13"/>
    </row>
    <row r="965" spans="1:42">
      <c r="C965" s="157" t="s">
        <v>37</v>
      </c>
      <c r="J965" s="532"/>
      <c r="K965" s="533"/>
      <c r="AO965" s="13"/>
      <c r="AP965" s="13"/>
    </row>
    <row r="966" spans="1:42" ht="15.75" thickBot="1">
      <c r="A966" s="149" t="s">
        <v>36</v>
      </c>
      <c r="B966" s="157"/>
      <c r="C966" s="148" t="s">
        <v>25</v>
      </c>
      <c r="J966" s="532"/>
      <c r="K966" s="2309" t="s">
        <v>1416</v>
      </c>
      <c r="L966" s="2309"/>
      <c r="M966" s="2309"/>
      <c r="N966" s="2309"/>
      <c r="O966" s="2309"/>
      <c r="P966" s="1852"/>
      <c r="T966" s="1851"/>
      <c r="U966" s="309"/>
      <c r="V966" s="309"/>
      <c r="W966" s="309"/>
      <c r="X966" s="309"/>
      <c r="Y966" s="309"/>
      <c r="Z966" s="309"/>
      <c r="AA966" s="346">
        <v>0.14000000000000001</v>
      </c>
      <c r="AB966" s="628">
        <v>0.12</v>
      </c>
      <c r="AC966" s="628">
        <v>0.08</v>
      </c>
      <c r="AD966" s="585"/>
      <c r="AE966" s="188"/>
      <c r="AF966" s="188"/>
      <c r="AG966" s="1866"/>
      <c r="AH966" s="1851"/>
      <c r="AO966" s="13"/>
      <c r="AP966" s="13"/>
    </row>
    <row r="967" spans="1:42" ht="60.75" thickBot="1">
      <c r="A967" s="187"/>
      <c r="B967" s="369" t="s">
        <v>10</v>
      </c>
      <c r="C967" s="1334" t="s">
        <v>11</v>
      </c>
      <c r="D967" s="370" t="s">
        <v>12</v>
      </c>
      <c r="E967" s="370" t="s">
        <v>13</v>
      </c>
      <c r="F967" s="370" t="s">
        <v>14</v>
      </c>
      <c r="G967" s="371" t="s">
        <v>15</v>
      </c>
      <c r="H967" s="372" t="s">
        <v>1090</v>
      </c>
      <c r="I967" s="372">
        <f>$C$20</f>
        <v>0.49</v>
      </c>
      <c r="J967" s="684">
        <f>$C$20</f>
        <v>0.49</v>
      </c>
      <c r="K967" s="601" t="s">
        <v>15</v>
      </c>
      <c r="L967" s="315" t="s">
        <v>12</v>
      </c>
      <c r="M967" s="316" t="s">
        <v>1091</v>
      </c>
      <c r="N967" s="605" t="s">
        <v>993</v>
      </c>
      <c r="O967" s="317" t="s">
        <v>1092</v>
      </c>
      <c r="P967" s="602" t="s">
        <v>1092</v>
      </c>
      <c r="Q967" s="200" t="s">
        <v>1093</v>
      </c>
      <c r="R967" s="201" t="s">
        <v>1094</v>
      </c>
      <c r="S967" s="350" t="s">
        <v>1095</v>
      </c>
      <c r="T967" s="203" t="s">
        <v>1095</v>
      </c>
      <c r="U967" s="204" t="s">
        <v>1096</v>
      </c>
      <c r="V967" s="205" t="s">
        <v>1093</v>
      </c>
      <c r="W967" s="206" t="s">
        <v>1094</v>
      </c>
      <c r="X967" s="207" t="s">
        <v>1097</v>
      </c>
      <c r="Y967" s="208">
        <v>0.49</v>
      </c>
      <c r="Z967" s="207" t="s">
        <v>1098</v>
      </c>
      <c r="AA967" s="209" t="s">
        <v>1099</v>
      </c>
      <c r="AB967" s="209" t="s">
        <v>1100</v>
      </c>
      <c r="AC967" s="210" t="s">
        <v>1092</v>
      </c>
      <c r="AD967" s="211" t="s">
        <v>1101</v>
      </c>
      <c r="AE967" s="212" t="s">
        <v>1102</v>
      </c>
      <c r="AF967" s="208" t="s">
        <v>1103</v>
      </c>
      <c r="AG967" s="1867" t="s">
        <v>1104</v>
      </c>
      <c r="AH967" s="213" t="s">
        <v>1105</v>
      </c>
      <c r="AI967" s="220" t="s">
        <v>1106</v>
      </c>
      <c r="AJ967" s="483" t="s">
        <v>1107</v>
      </c>
      <c r="AK967" s="484" t="s">
        <v>1108</v>
      </c>
      <c r="AL967" s="221" t="s">
        <v>1109</v>
      </c>
      <c r="AM967" s="221" t="s">
        <v>1175</v>
      </c>
      <c r="AN967" s="221" t="s">
        <v>1176</v>
      </c>
      <c r="AO967" s="13"/>
      <c r="AP967" s="13"/>
    </row>
    <row r="968" spans="1:42" ht="15.75">
      <c r="A968" s="187"/>
      <c r="B968" s="351" t="s">
        <v>245</v>
      </c>
      <c r="C968" s="224" t="s">
        <v>246</v>
      </c>
      <c r="D968" s="224">
        <v>29</v>
      </c>
      <c r="E968" s="224">
        <v>25</v>
      </c>
      <c r="F968" s="224">
        <v>750</v>
      </c>
      <c r="G968" s="396">
        <v>29.750182086582551</v>
      </c>
      <c r="H968" s="397">
        <f t="shared" ref="H968:H973" si="537">G968*(1+$H$33)</f>
        <v>31.83269483264333</v>
      </c>
      <c r="I968" s="397">
        <f t="shared" ref="I968:I973" si="538">H968-H968*$J$833</f>
        <v>16.2346743646481</v>
      </c>
      <c r="J968" s="1039">
        <f t="shared" ref="J968:J973" si="539">G968-G968*$J$833</f>
        <v>15.172592864157101</v>
      </c>
      <c r="K968" s="807">
        <v>35</v>
      </c>
      <c r="L968" s="808">
        <v>29</v>
      </c>
      <c r="M968" s="1119">
        <f t="shared" ref="M968:M973" si="540">L968/D968*100%</f>
        <v>1</v>
      </c>
      <c r="N968" s="879">
        <f t="shared" ref="N968:N973" si="541">K968-(K968*$O$33)</f>
        <v>17.5</v>
      </c>
      <c r="O968" s="1120">
        <f t="shared" ref="O968:O973" si="542">((N968/J968)-1)*100%</f>
        <v>0.15339547806235787</v>
      </c>
      <c r="P968" s="1656">
        <f t="shared" ref="P968:P973" si="543">((N968/I968)-1)*100%</f>
        <v>7.7939699123698913E-2</v>
      </c>
      <c r="Q968" s="234">
        <v>0.31</v>
      </c>
      <c r="R968" s="235">
        <f t="shared" ref="R968:R973" si="544">Q968*$R$33</f>
        <v>14.58023</v>
      </c>
      <c r="S968" s="236">
        <f t="shared" ref="S968:S973" si="545">((J968-R968)/J968)*100%</f>
        <v>3.9041637079478123E-2</v>
      </c>
      <c r="T968" s="237">
        <f t="shared" ref="T968:T973" si="546">((I968-R968)/I968)*100%</f>
        <v>0.10190807203689554</v>
      </c>
      <c r="U968" s="238">
        <v>0.26102500000000001</v>
      </c>
      <c r="V968" s="239">
        <f t="shared" ref="V968:V973" si="547">U968*$X$31</f>
        <v>0.31323000000000001</v>
      </c>
      <c r="W968" s="239">
        <f t="shared" ref="W968:W973" si="548">V968*$R$33</f>
        <v>14.732146590000001</v>
      </c>
      <c r="X968" s="240">
        <f>(ROUND(W968/(1-$AA$966),0))</f>
        <v>17</v>
      </c>
      <c r="Y968" s="239">
        <f t="shared" ref="Y968:Y973" si="549">Z968*(1-$X$33)</f>
        <v>16.32</v>
      </c>
      <c r="Z968" s="240">
        <f t="shared" ref="Z968:Z973" si="550">ROUND(X968/(1-$X$828),0)</f>
        <v>32</v>
      </c>
      <c r="AA968" s="241">
        <f t="shared" ref="AA968:AA973" si="551">((X968-W968)/X968)*100%</f>
        <v>0.13340314176470583</v>
      </c>
      <c r="AB968" s="241">
        <f t="shared" ref="AB968:AB973" si="552">((Y968-W968)/Y968)*100%</f>
        <v>9.7294939338235242E-2</v>
      </c>
      <c r="AC968" s="242">
        <f t="shared" ref="AC968:AC973" si="553">((N968/Y968)-1)*100%</f>
        <v>7.2303921568627416E-2</v>
      </c>
      <c r="AD968" s="243">
        <f t="shared" ref="AD968:AD973" si="554">((N968*0.96-W968)/(N968*0.96))*100%</f>
        <v>0.12308651249999998</v>
      </c>
      <c r="AE968" s="238">
        <f t="shared" ref="AE968:AE973" si="555">N968/$R$33</f>
        <v>0.37207917844917399</v>
      </c>
      <c r="AF968" s="239">
        <f>(V968/(1-$AA$966))</f>
        <v>0.36422093023255814</v>
      </c>
      <c r="AG968" s="1868">
        <v>0.69</v>
      </c>
      <c r="AH968" s="244">
        <f t="shared" ref="AH968:AH973" si="556">((AF968-V968)/AF968)*100%</f>
        <v>0.13999999999999999</v>
      </c>
      <c r="AI968" s="77">
        <f t="shared" ref="AI968:AI973" si="557">AJ968/$AJ$974</f>
        <v>0.21358206824346834</v>
      </c>
      <c r="AJ968" s="333">
        <f>[1]Статистика!D370</f>
        <v>4488</v>
      </c>
      <c r="AK968" s="270">
        <f t="shared" ref="AK968:AK973" si="558">Q968*S968*AJ968</f>
        <v>54.317848835936317</v>
      </c>
      <c r="AL968" s="506">
        <f t="shared" ref="AL968:AL973" si="559">AK968/$AK$974</f>
        <v>-0.18053791423094401</v>
      </c>
      <c r="AM968" s="77">
        <f t="shared" ref="AM968:AM973" si="560">AJ968/$AJ$1101</f>
        <v>6.0310016058482442E-3</v>
      </c>
      <c r="AN968" s="77">
        <f t="shared" ref="AN968:AN973" si="561">AK968/$AK$1101</f>
        <v>-7.1239949546719229E-4</v>
      </c>
      <c r="AO968" s="13"/>
      <c r="AP968" s="13"/>
    </row>
    <row r="969" spans="1:42" ht="15.75">
      <c r="A969" s="271"/>
      <c r="B969" s="356" t="s">
        <v>247</v>
      </c>
      <c r="C969" s="251" t="s">
        <v>248</v>
      </c>
      <c r="D969" s="251">
        <v>38</v>
      </c>
      <c r="E969" s="251">
        <v>20</v>
      </c>
      <c r="F969" s="251">
        <v>500</v>
      </c>
      <c r="G969" s="328">
        <v>38.579268383245754</v>
      </c>
      <c r="H969" s="357">
        <f t="shared" si="537"/>
        <v>41.27981717007296</v>
      </c>
      <c r="I969" s="357">
        <f t="shared" si="538"/>
        <v>21.052706756737209</v>
      </c>
      <c r="J969" s="884">
        <f t="shared" si="539"/>
        <v>19.675426875455337</v>
      </c>
      <c r="K969" s="254">
        <v>48</v>
      </c>
      <c r="L969" s="322">
        <v>34</v>
      </c>
      <c r="M969" s="385">
        <f t="shared" si="540"/>
        <v>0.89473684210526316</v>
      </c>
      <c r="N969" s="765">
        <f t="shared" si="541"/>
        <v>24</v>
      </c>
      <c r="O969" s="324">
        <f t="shared" si="542"/>
        <v>0.21979564417682207</v>
      </c>
      <c r="P969" s="1657">
        <f t="shared" si="543"/>
        <v>0.13999592913721703</v>
      </c>
      <c r="Q969" s="257">
        <v>0.38</v>
      </c>
      <c r="R969" s="258">
        <f t="shared" si="544"/>
        <v>17.872540000000001</v>
      </c>
      <c r="S969" s="259">
        <f t="shared" si="545"/>
        <v>9.1631398234332473E-2</v>
      </c>
      <c r="T969" s="260">
        <f t="shared" si="546"/>
        <v>0.15105738152741346</v>
      </c>
      <c r="U969" s="261">
        <v>0.32111000000000001</v>
      </c>
      <c r="V969" s="239">
        <f t="shared" si="547"/>
        <v>0.38533200000000001</v>
      </c>
      <c r="W969" s="262">
        <f t="shared" si="548"/>
        <v>18.123319956</v>
      </c>
      <c r="X969" s="240">
        <f>(ROUND(W969/(1-$AA$966),0))</f>
        <v>21</v>
      </c>
      <c r="Y969" s="239">
        <f t="shared" si="549"/>
        <v>20.399999999999999</v>
      </c>
      <c r="Z969" s="240">
        <f t="shared" si="550"/>
        <v>40</v>
      </c>
      <c r="AA969" s="264">
        <f t="shared" si="551"/>
        <v>0.13698476400000001</v>
      </c>
      <c r="AB969" s="241">
        <f t="shared" si="552"/>
        <v>0.11160196294117643</v>
      </c>
      <c r="AC969" s="242">
        <f t="shared" si="553"/>
        <v>0.17647058823529416</v>
      </c>
      <c r="AD969" s="266">
        <f t="shared" si="554"/>
        <v>0.21339757135416665</v>
      </c>
      <c r="AE969" s="261">
        <f t="shared" si="555"/>
        <v>0.5102800161588672</v>
      </c>
      <c r="AF969" s="239">
        <f>(V969/(1-$AA$966))</f>
        <v>0.44806046511627906</v>
      </c>
      <c r="AG969" s="1868">
        <v>0.85</v>
      </c>
      <c r="AH969" s="267">
        <f t="shared" si="556"/>
        <v>0.13999999999999996</v>
      </c>
      <c r="AI969" s="77">
        <f t="shared" si="557"/>
        <v>0.15990101365821158</v>
      </c>
      <c r="AJ969" s="333">
        <f>[1]Статистика!D371</f>
        <v>3360</v>
      </c>
      <c r="AK969" s="270">
        <f t="shared" si="558"/>
        <v>116.9949692655957</v>
      </c>
      <c r="AL969" s="506">
        <f t="shared" si="559"/>
        <v>-0.38885979801081261</v>
      </c>
      <c r="AM969" s="77">
        <f t="shared" si="560"/>
        <v>4.5151883680147279E-3</v>
      </c>
      <c r="AN969" s="77">
        <f t="shared" si="561"/>
        <v>-1.5344340555303458E-3</v>
      </c>
      <c r="AO969" s="13"/>
      <c r="AP969" s="13"/>
    </row>
    <row r="970" spans="1:42" ht="15.75">
      <c r="A970" s="187"/>
      <c r="B970" s="356" t="s">
        <v>249</v>
      </c>
      <c r="C970" s="251" t="s">
        <v>250</v>
      </c>
      <c r="D970" s="251">
        <v>47</v>
      </c>
      <c r="E970" s="251">
        <v>20</v>
      </c>
      <c r="F970" s="251">
        <v>500</v>
      </c>
      <c r="G970" s="328">
        <v>47.696259667843634</v>
      </c>
      <c r="H970" s="357">
        <f t="shared" si="537"/>
        <v>51.034997844592688</v>
      </c>
      <c r="I970" s="357">
        <f t="shared" si="538"/>
        <v>26.027848900742271</v>
      </c>
      <c r="J970" s="884">
        <f t="shared" si="539"/>
        <v>24.325092430600254</v>
      </c>
      <c r="K970" s="254">
        <v>53</v>
      </c>
      <c r="L970" s="322">
        <v>43</v>
      </c>
      <c r="M970" s="385">
        <f t="shared" si="540"/>
        <v>0.91489361702127658</v>
      </c>
      <c r="N970" s="765">
        <f t="shared" si="541"/>
        <v>26.5</v>
      </c>
      <c r="O970" s="324">
        <f t="shared" si="542"/>
        <v>8.9410043378243209E-2</v>
      </c>
      <c r="P970" s="1658">
        <f t="shared" si="543"/>
        <v>1.8140227456302283E-2</v>
      </c>
      <c r="Q970" s="273">
        <v>0.45</v>
      </c>
      <c r="R970" s="258">
        <f t="shared" si="544"/>
        <v>21.164850000000001</v>
      </c>
      <c r="S970" s="259">
        <f t="shared" si="545"/>
        <v>0.12991697522286741</v>
      </c>
      <c r="T970" s="260">
        <f t="shared" si="546"/>
        <v>0.18683829460081064</v>
      </c>
      <c r="U970" s="261">
        <v>0.37922499999999998</v>
      </c>
      <c r="V970" s="239">
        <f t="shared" si="547"/>
        <v>0.45506999999999997</v>
      </c>
      <c r="W970" s="262">
        <f t="shared" si="548"/>
        <v>21.403307309999999</v>
      </c>
      <c r="X970" s="240">
        <f>(ROUND(W970/(1-$AA$966),0))</f>
        <v>25</v>
      </c>
      <c r="Y970" s="239">
        <f t="shared" si="549"/>
        <v>23.97</v>
      </c>
      <c r="Z970" s="240">
        <f t="shared" si="550"/>
        <v>47</v>
      </c>
      <c r="AA970" s="264">
        <f t="shared" si="551"/>
        <v>0.14386770760000003</v>
      </c>
      <c r="AB970" s="241">
        <f t="shared" si="552"/>
        <v>0.10707937797246558</v>
      </c>
      <c r="AC970" s="242">
        <f t="shared" si="553"/>
        <v>0.10554860241969144</v>
      </c>
      <c r="AD970" s="266">
        <f t="shared" si="554"/>
        <v>0.15867502712264148</v>
      </c>
      <c r="AE970" s="261">
        <f t="shared" si="555"/>
        <v>0.56343418450874916</v>
      </c>
      <c r="AF970" s="239">
        <f>(V970/(1-$AA$966))</f>
        <v>0.52915116279069763</v>
      </c>
      <c r="AG970" s="1868">
        <v>1</v>
      </c>
      <c r="AH970" s="267">
        <f t="shared" si="556"/>
        <v>0.13999999999999996</v>
      </c>
      <c r="AI970" s="92">
        <f t="shared" si="557"/>
        <v>0.22823966116213773</v>
      </c>
      <c r="AJ970" s="338">
        <f>[1]Статистика!D372</f>
        <v>4796</v>
      </c>
      <c r="AK970" s="297">
        <f t="shared" si="558"/>
        <v>280.38681592599244</v>
      </c>
      <c r="AL970" s="866">
        <f t="shared" si="559"/>
        <v>-0.93193033247745571</v>
      </c>
      <c r="AM970" s="92">
        <f t="shared" si="560"/>
        <v>6.4448938729162611E-3</v>
      </c>
      <c r="AN970" s="92">
        <f t="shared" si="561"/>
        <v>-3.6773810171432633E-3</v>
      </c>
      <c r="AO970" s="13"/>
      <c r="AP970" s="13"/>
    </row>
    <row r="971" spans="1:42" ht="15.75">
      <c r="A971" s="187"/>
      <c r="B971" s="356" t="s">
        <v>251</v>
      </c>
      <c r="C971" s="251" t="s">
        <v>252</v>
      </c>
      <c r="D971" s="251">
        <v>56</v>
      </c>
      <c r="E971" s="251">
        <v>10</v>
      </c>
      <c r="F971" s="251">
        <v>350</v>
      </c>
      <c r="G971" s="328">
        <v>56.813250952441507</v>
      </c>
      <c r="H971" s="357">
        <f t="shared" si="537"/>
        <v>60.790178519112416</v>
      </c>
      <c r="I971" s="357">
        <f t="shared" si="538"/>
        <v>31.002991044747333</v>
      </c>
      <c r="J971" s="884">
        <f t="shared" si="539"/>
        <v>28.974757985745168</v>
      </c>
      <c r="K971" s="254">
        <v>57</v>
      </c>
      <c r="L971" s="322">
        <v>54</v>
      </c>
      <c r="M971" s="385">
        <f t="shared" si="540"/>
        <v>0.9642857142857143</v>
      </c>
      <c r="N971" s="765">
        <f t="shared" si="541"/>
        <v>28.5</v>
      </c>
      <c r="O971" s="324">
        <f t="shared" si="542"/>
        <v>-1.6385226961299737E-2</v>
      </c>
      <c r="P971" s="1658">
        <f t="shared" si="543"/>
        <v>-8.0733856973177476E-2</v>
      </c>
      <c r="Q971" s="257">
        <v>0.62</v>
      </c>
      <c r="R971" s="258">
        <f t="shared" si="544"/>
        <v>29.16046</v>
      </c>
      <c r="S971" s="259">
        <f t="shared" si="545"/>
        <v>-6.409096301898138E-3</v>
      </c>
      <c r="T971" s="260">
        <f t="shared" si="546"/>
        <v>5.9430751119721466E-2</v>
      </c>
      <c r="U971" s="261">
        <v>0.52402000000000004</v>
      </c>
      <c r="V971" s="239">
        <f t="shared" si="547"/>
        <v>0.62882400000000005</v>
      </c>
      <c r="W971" s="262">
        <f t="shared" si="548"/>
        <v>29.575479192000003</v>
      </c>
      <c r="X971" s="240">
        <f>(ROUND(W971/(1-$AB$966),0))</f>
        <v>34</v>
      </c>
      <c r="Y971" s="239">
        <f t="shared" si="549"/>
        <v>32.64</v>
      </c>
      <c r="Z971" s="240">
        <f t="shared" si="550"/>
        <v>64</v>
      </c>
      <c r="AA971" s="264">
        <f t="shared" si="551"/>
        <v>0.13013296494117638</v>
      </c>
      <c r="AB971" s="241">
        <f t="shared" si="552"/>
        <v>9.3888505147058751E-2</v>
      </c>
      <c r="AC971" s="265">
        <f t="shared" si="553"/>
        <v>-0.12683823529411764</v>
      </c>
      <c r="AD971" s="266">
        <f t="shared" si="554"/>
        <v>-8.0975116666666805E-2</v>
      </c>
      <c r="AE971" s="261">
        <f t="shared" si="555"/>
        <v>0.6059575191886547</v>
      </c>
      <c r="AF971" s="239">
        <f>(V971/(1-$AB$966))</f>
        <v>0.71457272727272736</v>
      </c>
      <c r="AG971" s="1868">
        <v>1.35</v>
      </c>
      <c r="AH971" s="267">
        <f t="shared" si="556"/>
        <v>0.12000000000000004</v>
      </c>
      <c r="AI971" s="77">
        <f t="shared" si="557"/>
        <v>0.12711178794079855</v>
      </c>
      <c r="AJ971" s="333">
        <f>[1]Статистика!D373</f>
        <v>2671</v>
      </c>
      <c r="AK971" s="270">
        <f t="shared" si="558"/>
        <v>-10.613591657869355</v>
      </c>
      <c r="AL971" s="506">
        <f t="shared" si="559"/>
        <v>3.5276722872408101E-2</v>
      </c>
      <c r="AM971" s="77">
        <f t="shared" si="560"/>
        <v>3.5893059913593272E-3</v>
      </c>
      <c r="AN971" s="77">
        <f t="shared" si="561"/>
        <v>1.3920133996835578E-4</v>
      </c>
      <c r="AO971" s="13"/>
      <c r="AP971" s="13"/>
    </row>
    <row r="972" spans="1:42" ht="15.75">
      <c r="A972" s="187"/>
      <c r="B972" s="249" t="s">
        <v>253</v>
      </c>
      <c r="C972" s="699" t="s">
        <v>254</v>
      </c>
      <c r="D972" s="1659">
        <v>65</v>
      </c>
      <c r="E972" s="251">
        <v>10</v>
      </c>
      <c r="F972" s="251">
        <v>350</v>
      </c>
      <c r="G972" s="328">
        <v>66.02621056635094</v>
      </c>
      <c r="H972" s="357">
        <f t="shared" si="537"/>
        <v>70.64804530599551</v>
      </c>
      <c r="I972" s="357">
        <f t="shared" si="538"/>
        <v>36.030503106057708</v>
      </c>
      <c r="J972" s="884">
        <f t="shared" si="539"/>
        <v>33.673367388838983</v>
      </c>
      <c r="K972" s="254">
        <v>80</v>
      </c>
      <c r="L972" s="322">
        <v>68</v>
      </c>
      <c r="M972" s="385">
        <f t="shared" si="540"/>
        <v>1.0461538461538462</v>
      </c>
      <c r="N972" s="765">
        <f t="shared" si="541"/>
        <v>40</v>
      </c>
      <c r="O972" s="324">
        <f t="shared" si="542"/>
        <v>0.18788238604428908</v>
      </c>
      <c r="P972" s="1658">
        <f t="shared" si="543"/>
        <v>0.11017045424699923</v>
      </c>
      <c r="Q972" s="257">
        <v>0.78553254437869824</v>
      </c>
      <c r="R972" s="258">
        <f t="shared" si="544"/>
        <v>36.945952159763316</v>
      </c>
      <c r="S972" s="259">
        <f t="shared" si="545"/>
        <v>-9.7186145155444978E-2</v>
      </c>
      <c r="T972" s="260">
        <f t="shared" si="546"/>
        <v>-2.54076122948085E-2</v>
      </c>
      <c r="U972" s="261">
        <v>0.64517500000000005</v>
      </c>
      <c r="V972" s="239">
        <f t="shared" si="547"/>
        <v>0.77421000000000006</v>
      </c>
      <c r="W972" s="262">
        <f t="shared" si="548"/>
        <v>36.413418930000006</v>
      </c>
      <c r="X972" s="240">
        <f>(ROUND(W972/(1-$AB$966),0))</f>
        <v>41</v>
      </c>
      <c r="Y972" s="239">
        <f t="shared" si="549"/>
        <v>39.270000000000003</v>
      </c>
      <c r="Z972" s="240">
        <f t="shared" si="550"/>
        <v>77</v>
      </c>
      <c r="AA972" s="264">
        <f t="shared" si="551"/>
        <v>0.11186783097560961</v>
      </c>
      <c r="AB972" s="241">
        <f t="shared" si="552"/>
        <v>7.2742069518716493E-2</v>
      </c>
      <c r="AC972" s="242">
        <f t="shared" si="553"/>
        <v>1.8589253883371404E-2</v>
      </c>
      <c r="AD972" s="266">
        <f t="shared" si="554"/>
        <v>5.173388203124981E-2</v>
      </c>
      <c r="AE972" s="261">
        <f t="shared" si="555"/>
        <v>0.85046669359811189</v>
      </c>
      <c r="AF972" s="239">
        <f>(V972/(1-$AB$966))</f>
        <v>0.87978409090909093</v>
      </c>
      <c r="AG972" s="1868">
        <f>AF972/(1-$X$828)</f>
        <v>1.6599699828473413</v>
      </c>
      <c r="AH972" s="267">
        <f t="shared" si="556"/>
        <v>0.11999999999999995</v>
      </c>
      <c r="AI972" s="77">
        <f t="shared" si="557"/>
        <v>9.4512920572978637E-2</v>
      </c>
      <c r="AJ972" s="333">
        <f>[1]Статистика!D374</f>
        <v>1986</v>
      </c>
      <c r="AK972" s="270">
        <f t="shared" si="558"/>
        <v>-151.61695944627598</v>
      </c>
      <c r="AL972" s="506">
        <f t="shared" si="559"/>
        <v>0.50393397763496772</v>
      </c>
      <c r="AM972" s="77">
        <f t="shared" si="560"/>
        <v>2.6687988389515623E-3</v>
      </c>
      <c r="AN972" s="77">
        <f t="shared" si="561"/>
        <v>1.9885147834193474E-3</v>
      </c>
      <c r="AO972" s="13"/>
      <c r="AP972" s="13"/>
    </row>
    <row r="973" spans="1:42" ht="16.5" thickBot="1">
      <c r="A973" s="187"/>
      <c r="B973" s="274" t="s">
        <v>255</v>
      </c>
      <c r="C973" s="1660" t="s">
        <v>256</v>
      </c>
      <c r="D973" s="1661">
        <v>74</v>
      </c>
      <c r="E973" s="276">
        <v>10</v>
      </c>
      <c r="F973" s="276">
        <v>250</v>
      </c>
      <c r="G973" s="339">
        <v>75.047233521637267</v>
      </c>
      <c r="H973" s="360">
        <f t="shared" si="537"/>
        <v>80.300539868151887</v>
      </c>
      <c r="I973" s="357">
        <f t="shared" si="538"/>
        <v>40.953275332757464</v>
      </c>
      <c r="J973" s="884">
        <f t="shared" si="539"/>
        <v>38.274089096035006</v>
      </c>
      <c r="K973" s="279">
        <v>93</v>
      </c>
      <c r="L973" s="341">
        <v>84</v>
      </c>
      <c r="M973" s="896">
        <f t="shared" si="540"/>
        <v>1.1351351351351351</v>
      </c>
      <c r="N973" s="767">
        <f t="shared" si="541"/>
        <v>46.5</v>
      </c>
      <c r="O973" s="901">
        <f t="shared" si="542"/>
        <v>0.2149211411230465</v>
      </c>
      <c r="P973" s="1662">
        <f t="shared" si="543"/>
        <v>0.13544031880658536</v>
      </c>
      <c r="Q973" s="257">
        <v>0.95000000000000007</v>
      </c>
      <c r="R973" s="258">
        <f t="shared" si="544"/>
        <v>44.681350000000002</v>
      </c>
      <c r="S973" s="259">
        <f t="shared" si="545"/>
        <v>-0.1674046608369513</v>
      </c>
      <c r="T973" s="287">
        <f t="shared" si="546"/>
        <v>-9.103239330556176E-2</v>
      </c>
      <c r="U973" s="261">
        <v>0.79588000000000003</v>
      </c>
      <c r="V973" s="239">
        <f t="shared" si="547"/>
        <v>0.95505600000000002</v>
      </c>
      <c r="W973" s="289">
        <f t="shared" si="548"/>
        <v>44.919148847999999</v>
      </c>
      <c r="X973" s="240">
        <f>(ROUND(W973/(1-$AC$966),0))</f>
        <v>49</v>
      </c>
      <c r="Y973" s="291">
        <f t="shared" si="549"/>
        <v>46.92</v>
      </c>
      <c r="Z973" s="240">
        <f t="shared" si="550"/>
        <v>92</v>
      </c>
      <c r="AA973" s="292">
        <f t="shared" si="551"/>
        <v>8.3282676571428599E-2</v>
      </c>
      <c r="AB973" s="241">
        <f t="shared" si="552"/>
        <v>4.2643886445012845E-2</v>
      </c>
      <c r="AC973" s="345">
        <f t="shared" si="553"/>
        <v>-8.9514066496163558E-3</v>
      </c>
      <c r="AD973" s="294">
        <f t="shared" si="554"/>
        <v>-6.2533344086021141E-3</v>
      </c>
      <c r="AE973" s="288">
        <f t="shared" si="555"/>
        <v>0.98866753130780516</v>
      </c>
      <c r="AF973" s="239">
        <f>(V973/(1-$AC$966))</f>
        <v>1.038104347826087</v>
      </c>
      <c r="AG973" s="1868">
        <v>1.96</v>
      </c>
      <c r="AH973" s="295">
        <f t="shared" si="556"/>
        <v>7.9999999999999988E-2</v>
      </c>
      <c r="AI973" s="77">
        <f t="shared" si="557"/>
        <v>0.17665254842240519</v>
      </c>
      <c r="AJ973" s="333">
        <f>[1]Статистика!D375</f>
        <v>3712</v>
      </c>
      <c r="AK973" s="270">
        <f t="shared" si="558"/>
        <v>-590.33579597542507</v>
      </c>
      <c r="AL973" s="506">
        <f t="shared" si="559"/>
        <v>1.9621173442118365</v>
      </c>
      <c r="AM973" s="77">
        <f t="shared" si="560"/>
        <v>4.9882081018067471E-3</v>
      </c>
      <c r="AN973" s="77">
        <f t="shared" si="561"/>
        <v>7.742481195810536E-3</v>
      </c>
      <c r="AO973" s="13"/>
      <c r="AP973" s="13"/>
    </row>
    <row r="974" spans="1:42" ht="16.5" thickBot="1">
      <c r="A974" s="187"/>
      <c r="J974" s="532"/>
      <c r="K974" s="533"/>
      <c r="P974" s="1663"/>
      <c r="Q974" s="1091"/>
      <c r="R974" s="1092"/>
      <c r="S974" s="364"/>
      <c r="T974" s="364"/>
      <c r="U974" s="872"/>
      <c r="V974" s="872"/>
      <c r="W974" s="872"/>
      <c r="X974" s="872"/>
      <c r="Y974" s="872"/>
      <c r="Z974" s="872"/>
      <c r="AA974" s="364"/>
      <c r="AB974" s="364"/>
      <c r="AC974" s="364"/>
      <c r="AD974" s="364">
        <f>AVERAGE(AD968:AD973)</f>
        <v>7.661075698879817E-2</v>
      </c>
      <c r="AE974" s="872"/>
      <c r="AF974" s="872"/>
      <c r="AG974" s="1882"/>
      <c r="AH974" s="364"/>
      <c r="AI974" s="512">
        <f>S968*AI968+S969*AI969+S970*AI970+S971*AI971+S972*AI972+S973*AI973</f>
        <v>1.3070275397186509E-2</v>
      </c>
      <c r="AJ974" s="513">
        <f>SUM(AJ968:AJ973)</f>
        <v>21013</v>
      </c>
      <c r="AK974" s="514">
        <f>SUM(AK968:AK973)</f>
        <v>-300.86671305204595</v>
      </c>
      <c r="AM974" s="307">
        <f>SUM(AM968:AM973)</f>
        <v>2.8237396778896872E-2</v>
      </c>
      <c r="AN974" s="307">
        <f>SUM(AN968:AN973)</f>
        <v>3.9459827510574374E-3</v>
      </c>
      <c r="AO974" s="13"/>
      <c r="AP974" s="13"/>
    </row>
    <row r="975" spans="1:42">
      <c r="A975" s="187"/>
      <c r="J975" s="532"/>
      <c r="K975" s="533"/>
      <c r="AO975" s="13"/>
      <c r="AP975" s="13"/>
    </row>
    <row r="976" spans="1:42">
      <c r="A976" s="187"/>
      <c r="J976" s="532"/>
      <c r="K976" s="533"/>
      <c r="AO976" s="13"/>
      <c r="AP976" s="13"/>
    </row>
    <row r="977" spans="1:42" ht="15.75" thickBot="1">
      <c r="A977" s="149" t="s">
        <v>1417</v>
      </c>
      <c r="B977" s="157"/>
      <c r="C977" s="148" t="s">
        <v>27</v>
      </c>
      <c r="F977" s="157" t="s">
        <v>38</v>
      </c>
      <c r="J977" s="532"/>
      <c r="K977" s="2309" t="s">
        <v>1418</v>
      </c>
      <c r="L977" s="2309"/>
      <c r="M977" s="2309"/>
      <c r="N977" s="2309"/>
      <c r="O977" s="2309"/>
      <c r="P977" s="1852"/>
      <c r="T977" s="1851"/>
      <c r="U977" s="309"/>
      <c r="V977" s="309"/>
      <c r="W977" s="309"/>
      <c r="X977" s="309"/>
      <c r="Y977" s="309"/>
      <c r="Z977" s="346">
        <v>0.1</v>
      </c>
      <c r="AA977" s="346">
        <v>0.11</v>
      </c>
      <c r="AB977" s="628">
        <v>0.22</v>
      </c>
      <c r="AC977" s="628">
        <v>0.14000000000000001</v>
      </c>
      <c r="AD977" s="585">
        <v>0.09</v>
      </c>
      <c r="AE977" s="188"/>
      <c r="AF977" s="188"/>
      <c r="AG977" s="1866"/>
      <c r="AH977" s="1851"/>
      <c r="AO977" s="13"/>
      <c r="AP977" s="13"/>
    </row>
    <row r="978" spans="1:42" ht="60.75" thickBot="1">
      <c r="A978" s="187"/>
      <c r="B978" s="369" t="s">
        <v>10</v>
      </c>
      <c r="C978" s="1334" t="s">
        <v>11</v>
      </c>
      <c r="D978" s="370" t="s">
        <v>12</v>
      </c>
      <c r="E978" s="370" t="s">
        <v>13</v>
      </c>
      <c r="F978" s="370" t="s">
        <v>14</v>
      </c>
      <c r="G978" s="371" t="s">
        <v>15</v>
      </c>
      <c r="H978" s="372" t="s">
        <v>1090</v>
      </c>
      <c r="I978" s="372">
        <f>$C$20</f>
        <v>0.49</v>
      </c>
      <c r="J978" s="684">
        <f>$C$20</f>
        <v>0.49</v>
      </c>
      <c r="K978" s="548" t="s">
        <v>15</v>
      </c>
      <c r="L978" s="423" t="s">
        <v>12</v>
      </c>
      <c r="M978" s="196" t="s">
        <v>1091</v>
      </c>
      <c r="N978" s="549" t="s">
        <v>993</v>
      </c>
      <c r="O978" s="424" t="s">
        <v>1092</v>
      </c>
      <c r="P978" s="199" t="s">
        <v>1092</v>
      </c>
      <c r="Q978" s="200" t="s">
        <v>1093</v>
      </c>
      <c r="R978" s="201" t="s">
        <v>1094</v>
      </c>
      <c r="S978" s="350" t="s">
        <v>1095</v>
      </c>
      <c r="T978" s="1117" t="s">
        <v>1095</v>
      </c>
      <c r="U978" s="1344" t="s">
        <v>1096</v>
      </c>
      <c r="V978" s="1345" t="s">
        <v>1093</v>
      </c>
      <c r="W978" s="1346" t="s">
        <v>1094</v>
      </c>
      <c r="X978" s="1347" t="s">
        <v>1097</v>
      </c>
      <c r="Y978" s="1348">
        <v>0.49</v>
      </c>
      <c r="Z978" s="1347" t="s">
        <v>1098</v>
      </c>
      <c r="AA978" s="1349" t="s">
        <v>1099</v>
      </c>
      <c r="AB978" s="1349" t="s">
        <v>1100</v>
      </c>
      <c r="AC978" s="1350" t="s">
        <v>1092</v>
      </c>
      <c r="AD978" s="1351" t="s">
        <v>1101</v>
      </c>
      <c r="AE978" s="1664" t="s">
        <v>1102</v>
      </c>
      <c r="AF978" s="1348" t="s">
        <v>1103</v>
      </c>
      <c r="AG978" s="1895" t="s">
        <v>1104</v>
      </c>
      <c r="AH978" s="1352" t="s">
        <v>1105</v>
      </c>
      <c r="AI978" s="220" t="s">
        <v>1106</v>
      </c>
      <c r="AJ978" s="483" t="s">
        <v>1107</v>
      </c>
      <c r="AK978" s="484" t="s">
        <v>1108</v>
      </c>
      <c r="AL978" s="221" t="s">
        <v>1109</v>
      </c>
      <c r="AM978" s="221" t="s">
        <v>1175</v>
      </c>
      <c r="AN978" s="221" t="s">
        <v>1176</v>
      </c>
      <c r="AO978" s="13"/>
      <c r="AP978" s="13"/>
    </row>
    <row r="979" spans="1:42" ht="15.75">
      <c r="A979" s="187"/>
      <c r="B979" s="1391" t="s">
        <v>870</v>
      </c>
      <c r="C979" s="1392" t="s">
        <v>872</v>
      </c>
      <c r="D979" s="960">
        <v>20</v>
      </c>
      <c r="E979" s="960">
        <v>10</v>
      </c>
      <c r="F979" s="376">
        <v>1000</v>
      </c>
      <c r="G979" s="17"/>
      <c r="H979" s="1665">
        <v>22</v>
      </c>
      <c r="I979" s="504">
        <f>H979-H979*$J$833</f>
        <v>11.22</v>
      </c>
      <c r="J979" s="1666"/>
      <c r="K979" s="912">
        <v>23</v>
      </c>
      <c r="L979" s="322">
        <v>18</v>
      </c>
      <c r="M979" s="385">
        <f t="shared" ref="M979:M995" si="562">L979/D979*100%</f>
        <v>0.9</v>
      </c>
      <c r="N979" s="382">
        <f t="shared" ref="N979:N995" si="563">K979-(K979*$O$33)</f>
        <v>11.5</v>
      </c>
      <c r="O979" s="918"/>
      <c r="P979" s="1667">
        <f t="shared" ref="P979:P995" si="564">((N979/I979)-1)*100%</f>
        <v>2.4955436720142554E-2</v>
      </c>
      <c r="Q979" s="1668">
        <v>0.25137484999999998</v>
      </c>
      <c r="R979" s="258">
        <f t="shared" ref="R979:R995" si="565">Q979*$R$33</f>
        <v>11.822913320049999</v>
      </c>
      <c r="S979" s="259"/>
      <c r="T979" s="237">
        <f t="shared" ref="T979:T995" si="566">((I979-R979)/I979)*100%</f>
        <v>-5.3735590022281468E-2</v>
      </c>
      <c r="U979" s="1358" t="s">
        <v>1419</v>
      </c>
      <c r="V979" s="1359">
        <f t="shared" ref="V979:V995" si="567">U979*$X$31</f>
        <v>0.25319999999999998</v>
      </c>
      <c r="W979" s="1359">
        <f t="shared" ref="W979:W995" si="568">V979*$R$33</f>
        <v>11.908755599999999</v>
      </c>
      <c r="X979" s="1360">
        <f>(ROUND(W979/(1-$AA$977),0))</f>
        <v>13</v>
      </c>
      <c r="Y979" s="1359">
        <f t="shared" ref="Y979:Y995" si="569">Z979*(1-$X$33)</f>
        <v>12.75</v>
      </c>
      <c r="Z979" s="1360">
        <f t="shared" ref="Z979:Z995" si="570">ROUND(X979/(1-$X$828),0)</f>
        <v>25</v>
      </c>
      <c r="AA979" s="1361">
        <f t="shared" ref="AA979:AA995" si="571">((X979-W979)/X979)*100%</f>
        <v>8.3941876923076988E-2</v>
      </c>
      <c r="AB979" s="1361">
        <f t="shared" ref="AB979:AB995" si="572">((Y979-W979)/Y979)*100%</f>
        <v>6.5979952941176534E-2</v>
      </c>
      <c r="AC979" s="1362">
        <f t="shared" ref="AC979:AC995" si="573">((N979/Y979)-1)*100%</f>
        <v>-9.8039215686274495E-2</v>
      </c>
      <c r="AD979" s="1669">
        <f t="shared" ref="AD979:AD995" si="574">((N979*0.96-W979)/(N979*0.96))*100%</f>
        <v>-7.8691630434782625E-2</v>
      </c>
      <c r="AE979" s="1358">
        <f t="shared" ref="AE979:AE995" si="575">N979/$R$33</f>
        <v>0.24450917440945719</v>
      </c>
      <c r="AF979" s="1359">
        <f>(V979/(1-$AA$977))</f>
        <v>0.2844943820224719</v>
      </c>
      <c r="AG979" s="1896">
        <v>0.54</v>
      </c>
      <c r="AH979" s="1365">
        <f t="shared" ref="AH979:AH995" si="576">((AF979-V979)/AF979)*100%</f>
        <v>0.11000000000000004</v>
      </c>
      <c r="AI979" s="1366"/>
      <c r="AJ979" s="1367"/>
      <c r="AK979" s="1368"/>
      <c r="AL979" s="1369"/>
      <c r="AM979" s="1369"/>
      <c r="AN979" s="1369"/>
      <c r="AO979" s="13"/>
      <c r="AP979" s="13"/>
    </row>
    <row r="980" spans="1:42" ht="15.75">
      <c r="A980" s="187"/>
      <c r="B980" s="356" t="s">
        <v>871</v>
      </c>
      <c r="C980" s="1393" t="s">
        <v>873</v>
      </c>
      <c r="D980" s="450">
        <v>20</v>
      </c>
      <c r="E980" s="450">
        <v>10</v>
      </c>
      <c r="F980" s="250">
        <v>1000</v>
      </c>
      <c r="G980" s="17"/>
      <c r="H980" s="1670">
        <v>22</v>
      </c>
      <c r="I980" s="504">
        <f>H980-H980*$J$833</f>
        <v>11.22</v>
      </c>
      <c r="J980" s="1671"/>
      <c r="K980" s="912">
        <v>30</v>
      </c>
      <c r="L980" s="322">
        <v>25</v>
      </c>
      <c r="M980" s="385">
        <f t="shared" si="562"/>
        <v>1.25</v>
      </c>
      <c r="N980" s="382">
        <f t="shared" si="563"/>
        <v>15</v>
      </c>
      <c r="O980" s="918"/>
      <c r="P980" s="1667">
        <f t="shared" si="564"/>
        <v>0.33689839572192515</v>
      </c>
      <c r="Q980" s="1672">
        <v>0.25137484999999998</v>
      </c>
      <c r="R980" s="258">
        <f t="shared" si="565"/>
        <v>11.822913320049999</v>
      </c>
      <c r="S980" s="259"/>
      <c r="T980" s="237">
        <f t="shared" si="566"/>
        <v>-5.3735590022281468E-2</v>
      </c>
      <c r="U980" s="1358" t="s">
        <v>1419</v>
      </c>
      <c r="V980" s="1359">
        <f t="shared" si="567"/>
        <v>0.25319999999999998</v>
      </c>
      <c r="W980" s="1359">
        <f t="shared" si="568"/>
        <v>11.908755599999999</v>
      </c>
      <c r="X980" s="1360">
        <f>(ROUND(W980/(1-$AB$977),0))</f>
        <v>15</v>
      </c>
      <c r="Y980" s="1359">
        <f t="shared" si="569"/>
        <v>14.280000000000001</v>
      </c>
      <c r="Z980" s="1360">
        <f t="shared" si="570"/>
        <v>28</v>
      </c>
      <c r="AA980" s="1361">
        <f t="shared" si="571"/>
        <v>0.20608296000000006</v>
      </c>
      <c r="AB980" s="1361">
        <f t="shared" si="572"/>
        <v>0.16605352941176482</v>
      </c>
      <c r="AC980" s="1673">
        <f t="shared" si="573"/>
        <v>5.0420168067226712E-2</v>
      </c>
      <c r="AD980" s="1669">
        <f t="shared" si="574"/>
        <v>0.17300308333333331</v>
      </c>
      <c r="AE980" s="1358">
        <f t="shared" si="575"/>
        <v>0.31892501009929197</v>
      </c>
      <c r="AF980" s="1359">
        <f>(V980/(1-$AB$977))</f>
        <v>0.32461538461538458</v>
      </c>
      <c r="AG980" s="1896">
        <v>0.61</v>
      </c>
      <c r="AH980" s="1365">
        <f t="shared" si="576"/>
        <v>0.21999999999999997</v>
      </c>
      <c r="AI980" s="1366"/>
      <c r="AJ980" s="1367"/>
      <c r="AK980" s="1368"/>
      <c r="AL980" s="1369"/>
      <c r="AM980" s="1369"/>
      <c r="AN980" s="1369"/>
      <c r="AO980" s="13"/>
      <c r="AP980" s="13"/>
    </row>
    <row r="981" spans="1:42" ht="15.75">
      <c r="A981" s="187"/>
      <c r="B981" s="1391" t="s">
        <v>705</v>
      </c>
      <c r="C981" s="377" t="s">
        <v>1420</v>
      </c>
      <c r="D981" s="377">
        <v>28</v>
      </c>
      <c r="E981" s="377">
        <v>10</v>
      </c>
      <c r="F981" s="377">
        <v>800</v>
      </c>
      <c r="G981" s="689">
        <v>28.769156626506028</v>
      </c>
      <c r="H981" s="504">
        <f t="shared" ref="H981:H986" si="577">G981*(1+$H$33)</f>
        <v>30.78299759036145</v>
      </c>
      <c r="I981" s="504">
        <f>H981-H981*$J$833</f>
        <v>15.699328771084341</v>
      </c>
      <c r="J981" s="1045">
        <f t="shared" ref="J981:J986" si="578">G981-G981*$J$833</f>
        <v>14.672269879518074</v>
      </c>
      <c r="K981" s="912">
        <v>33</v>
      </c>
      <c r="L981" s="322">
        <v>27</v>
      </c>
      <c r="M981" s="385">
        <f t="shared" si="562"/>
        <v>0.9642857142857143</v>
      </c>
      <c r="N981" s="382">
        <f t="shared" si="563"/>
        <v>16.5</v>
      </c>
      <c r="O981" s="918"/>
      <c r="P981" s="1667">
        <f t="shared" si="564"/>
        <v>5.1000347886870578E-2</v>
      </c>
      <c r="Q981" s="1674">
        <v>0.33999999999999997</v>
      </c>
      <c r="R981" s="258">
        <f t="shared" si="565"/>
        <v>15.991219999999998</v>
      </c>
      <c r="S981" s="259">
        <f t="shared" ref="S981:S986" si="579">((J981-R981)/J981)*100%</f>
        <v>-8.989407442151319E-2</v>
      </c>
      <c r="T981" s="237">
        <f t="shared" si="566"/>
        <v>-1.8592592917301965E-2</v>
      </c>
      <c r="U981" s="261">
        <v>0.28367999999999999</v>
      </c>
      <c r="V981" s="262">
        <f t="shared" si="567"/>
        <v>0.340416</v>
      </c>
      <c r="W981" s="262">
        <f t="shared" si="568"/>
        <v>16.010785728000002</v>
      </c>
      <c r="X981" s="263">
        <f>(ROUND(W981/(1-$AD$977),0))</f>
        <v>18</v>
      </c>
      <c r="Y981" s="262">
        <f t="shared" si="569"/>
        <v>17.34</v>
      </c>
      <c r="Z981" s="263">
        <f t="shared" si="570"/>
        <v>34</v>
      </c>
      <c r="AA981" s="264">
        <f t="shared" si="571"/>
        <v>0.1105119039999999</v>
      </c>
      <c r="AB981" s="264">
        <f t="shared" si="572"/>
        <v>7.6655955709342444E-2</v>
      </c>
      <c r="AC981" s="1675">
        <f t="shared" si="573"/>
        <v>-4.8442906574394429E-2</v>
      </c>
      <c r="AD981" s="266">
        <f t="shared" si="574"/>
        <v>-1.07819272727274E-2</v>
      </c>
      <c r="AE981" s="261">
        <f t="shared" si="575"/>
        <v>0.35081751110922116</v>
      </c>
      <c r="AF981" s="262">
        <f>(V981/(1-$AD$977))</f>
        <v>0.37408351648351645</v>
      </c>
      <c r="AG981" s="1869">
        <v>0.71</v>
      </c>
      <c r="AH981" s="264">
        <f t="shared" si="576"/>
        <v>8.9999999999999941E-2</v>
      </c>
      <c r="AI981" s="1374">
        <f t="shared" ref="AI981:AI986" si="580">AJ981/$AJ$996</f>
        <v>7.8790597971036172E-2</v>
      </c>
      <c r="AJ981" s="333">
        <f>[1]Статистика!D256</f>
        <v>3161</v>
      </c>
      <c r="AK981" s="270">
        <f t="shared" ref="AK981:AK986" si="581">Q981*S981*AJ981</f>
        <v>-96.612757543777079</v>
      </c>
      <c r="AL981" s="506">
        <f t="shared" ref="AL981:AL986" si="582">AK981/$AK$996</f>
        <v>8.2738167215891112E-2</v>
      </c>
      <c r="AM981" s="77">
        <f t="shared" ref="AM981:AM986" si="583">AJ981/$AJ$1101</f>
        <v>4.2477709616948085E-3</v>
      </c>
      <c r="AN981" s="77">
        <f t="shared" ref="AN981:AN986" si="584">AK981/$AK$1101</f>
        <v>1.2671135032937013E-3</v>
      </c>
      <c r="AO981" s="13"/>
      <c r="AP981" s="13"/>
    </row>
    <row r="982" spans="1:42" ht="15.75">
      <c r="A982" s="187"/>
      <c r="B982" s="356" t="s">
        <v>257</v>
      </c>
      <c r="C982" s="251" t="s">
        <v>211</v>
      </c>
      <c r="D982" s="251">
        <v>46</v>
      </c>
      <c r="E982" s="251">
        <v>10</v>
      </c>
      <c r="F982" s="251">
        <v>400</v>
      </c>
      <c r="G982" s="328">
        <v>46.640608045416506</v>
      </c>
      <c r="H982" s="357">
        <f t="shared" si="577"/>
        <v>49.905450608595665</v>
      </c>
      <c r="I982" s="357">
        <f>H982-H982*$J$833</f>
        <v>25.45177981038379</v>
      </c>
      <c r="J982" s="1045">
        <f t="shared" si="578"/>
        <v>23.78671010316242</v>
      </c>
      <c r="K982" s="912">
        <v>47</v>
      </c>
      <c r="L982" s="322">
        <v>43</v>
      </c>
      <c r="M982" s="385">
        <f t="shared" si="562"/>
        <v>0.93478260869565222</v>
      </c>
      <c r="N982" s="382">
        <f t="shared" si="563"/>
        <v>23.5</v>
      </c>
      <c r="O982" s="918">
        <f>((N982/J982)-1)*100%</f>
        <v>-1.2053373582095461E-2</v>
      </c>
      <c r="P982" s="1676">
        <f t="shared" si="564"/>
        <v>-7.6685395871117223E-2</v>
      </c>
      <c r="Q982" s="257">
        <v>0.53</v>
      </c>
      <c r="R982" s="258">
        <f t="shared" si="565"/>
        <v>24.927490000000002</v>
      </c>
      <c r="S982" s="259">
        <f t="shared" si="579"/>
        <v>-4.7958708534725725E-2</v>
      </c>
      <c r="T982" s="260">
        <f t="shared" si="566"/>
        <v>2.0599337818013375E-2</v>
      </c>
      <c r="U982" s="261">
        <v>0.44128000000000001</v>
      </c>
      <c r="V982" s="262">
        <f t="shared" si="567"/>
        <v>0.52953600000000001</v>
      </c>
      <c r="W982" s="262">
        <f t="shared" si="568"/>
        <v>24.905666688</v>
      </c>
      <c r="X982" s="263">
        <f>(ROUND(W982/(1-$AA$977),0))</f>
        <v>28</v>
      </c>
      <c r="Y982" s="262">
        <f t="shared" si="569"/>
        <v>27.03</v>
      </c>
      <c r="Z982" s="263">
        <f t="shared" si="570"/>
        <v>53</v>
      </c>
      <c r="AA982" s="264">
        <f t="shared" si="571"/>
        <v>0.11051190399999999</v>
      </c>
      <c r="AB982" s="264">
        <f t="shared" si="572"/>
        <v>7.8591687458379605E-2</v>
      </c>
      <c r="AC982" s="1590">
        <f t="shared" si="573"/>
        <v>-0.13059563448020717</v>
      </c>
      <c r="AD982" s="266">
        <f t="shared" si="574"/>
        <v>-0.10397458723404263</v>
      </c>
      <c r="AE982" s="261">
        <f t="shared" si="575"/>
        <v>0.49964918248889079</v>
      </c>
      <c r="AF982" s="262">
        <f>(V982/(1-$AA$977))</f>
        <v>0.59498426966292139</v>
      </c>
      <c r="AG982" s="1869">
        <v>1.1200000000000001</v>
      </c>
      <c r="AH982" s="264">
        <f t="shared" si="576"/>
        <v>0.11000000000000006</v>
      </c>
      <c r="AI982" s="1372">
        <f t="shared" si="580"/>
        <v>0.45442309130337244</v>
      </c>
      <c r="AJ982" s="338">
        <f>[1]Статистика!D257</f>
        <v>18231</v>
      </c>
      <c r="AK982" s="297">
        <f t="shared" si="581"/>
        <v>-463.39766410718988</v>
      </c>
      <c r="AL982" s="866">
        <f t="shared" si="582"/>
        <v>0.39684897103760991</v>
      </c>
      <c r="AM982" s="92">
        <f t="shared" si="583"/>
        <v>2.4498928314665627E-2</v>
      </c>
      <c r="AN982" s="92">
        <f t="shared" si="584"/>
        <v>6.0776387354322019E-3</v>
      </c>
      <c r="AO982" s="13"/>
      <c r="AP982" s="13"/>
    </row>
    <row r="983" spans="1:42" ht="15.75">
      <c r="A983" s="271"/>
      <c r="B983" s="356" t="s">
        <v>258</v>
      </c>
      <c r="C983" s="251" t="s">
        <v>213</v>
      </c>
      <c r="D983" s="251">
        <v>66</v>
      </c>
      <c r="E983" s="251">
        <v>10</v>
      </c>
      <c r="F983" s="251">
        <v>280</v>
      </c>
      <c r="G983" s="328">
        <v>67.177830518089607</v>
      </c>
      <c r="H983" s="357">
        <f t="shared" si="577"/>
        <v>71.880278654355877</v>
      </c>
      <c r="I983" s="357">
        <f t="shared" ref="I983:I995" si="585">H983-H983*$J$833</f>
        <v>36.658942113721501</v>
      </c>
      <c r="J983" s="1045">
        <f t="shared" si="578"/>
        <v>34.260693564225697</v>
      </c>
      <c r="K983" s="912">
        <v>95</v>
      </c>
      <c r="L983" s="322">
        <v>79</v>
      </c>
      <c r="M983" s="385">
        <f t="shared" si="562"/>
        <v>1.196969696969697</v>
      </c>
      <c r="N983" s="382">
        <f t="shared" si="563"/>
        <v>47.5</v>
      </c>
      <c r="O983" s="918">
        <f>((N983/J983)-1)*100%</f>
        <v>0.38642844199740645</v>
      </c>
      <c r="P983" s="1667">
        <f t="shared" si="564"/>
        <v>0.29572751588542623</v>
      </c>
      <c r="Q983" s="273">
        <v>0.77</v>
      </c>
      <c r="R983" s="258">
        <f t="shared" si="565"/>
        <v>36.215409999999999</v>
      </c>
      <c r="S983" s="259">
        <f t="shared" si="579"/>
        <v>-5.7054199212574486E-2</v>
      </c>
      <c r="T983" s="260">
        <f t="shared" si="566"/>
        <v>1.209887924058474E-2</v>
      </c>
      <c r="U983" s="261">
        <v>0.62448999999999999</v>
      </c>
      <c r="V983" s="262">
        <f t="shared" si="567"/>
        <v>0.74938799999999994</v>
      </c>
      <c r="W983" s="262">
        <f t="shared" si="568"/>
        <v>35.245965804000001</v>
      </c>
      <c r="X983" s="263">
        <f>(ROUND(W983/(1-$AB$977),0))</f>
        <v>45</v>
      </c>
      <c r="Y983" s="262">
        <f t="shared" si="569"/>
        <v>43.35</v>
      </c>
      <c r="Z983" s="263">
        <f t="shared" si="570"/>
        <v>85</v>
      </c>
      <c r="AA983" s="264">
        <f t="shared" si="571"/>
        <v>0.21675631546666665</v>
      </c>
      <c r="AB983" s="264">
        <f t="shared" si="572"/>
        <v>0.18694427211072664</v>
      </c>
      <c r="AC983" s="1677">
        <f t="shared" si="573"/>
        <v>9.5732410611303331E-2</v>
      </c>
      <c r="AD983" s="266">
        <f t="shared" si="574"/>
        <v>0.22706215342105263</v>
      </c>
      <c r="AE983" s="261">
        <f t="shared" si="575"/>
        <v>1.0099291986477579</v>
      </c>
      <c r="AF983" s="262">
        <f>(V983/(1-$AB$977))</f>
        <v>0.96075384615384607</v>
      </c>
      <c r="AG983" s="1869">
        <v>1.81</v>
      </c>
      <c r="AH983" s="264">
        <f t="shared" si="576"/>
        <v>0.22</v>
      </c>
      <c r="AI983" s="1374">
        <f t="shared" si="580"/>
        <v>0.1465639721827563</v>
      </c>
      <c r="AJ983" s="333">
        <f>[1]Статистика!D258</f>
        <v>5880</v>
      </c>
      <c r="AK983" s="270">
        <f t="shared" si="581"/>
        <v>-258.31859235485229</v>
      </c>
      <c r="AL983" s="506">
        <f t="shared" si="582"/>
        <v>0.22122137316642634</v>
      </c>
      <c r="AM983" s="77">
        <f t="shared" si="583"/>
        <v>7.9015796440257743E-3</v>
      </c>
      <c r="AN983" s="77">
        <f t="shared" si="584"/>
        <v>3.3879477705244048E-3</v>
      </c>
      <c r="AO983" s="13"/>
      <c r="AP983" s="13"/>
    </row>
    <row r="984" spans="1:42" ht="15.75">
      <c r="A984" s="187"/>
      <c r="B984" s="356" t="s">
        <v>259</v>
      </c>
      <c r="C984" s="251" t="s">
        <v>215</v>
      </c>
      <c r="D984" s="251">
        <v>68</v>
      </c>
      <c r="E984" s="251">
        <v>10</v>
      </c>
      <c r="F984" s="251">
        <v>250</v>
      </c>
      <c r="G984" s="328">
        <v>69.097197104320756</v>
      </c>
      <c r="H984" s="357">
        <f t="shared" si="577"/>
        <v>73.934000901623207</v>
      </c>
      <c r="I984" s="357">
        <f t="shared" si="585"/>
        <v>37.706340459827835</v>
      </c>
      <c r="J984" s="1045">
        <f t="shared" si="578"/>
        <v>35.239570523203589</v>
      </c>
      <c r="K984" s="912">
        <v>94</v>
      </c>
      <c r="L984" s="322">
        <v>78</v>
      </c>
      <c r="M984" s="385">
        <f t="shared" si="562"/>
        <v>1.1470588235294117</v>
      </c>
      <c r="N984" s="382">
        <f t="shared" si="563"/>
        <v>47</v>
      </c>
      <c r="O984" s="918">
        <f>((N984/J984)-1)*100%</f>
        <v>0.33372794566417108</v>
      </c>
      <c r="P984" s="1667">
        <f t="shared" si="564"/>
        <v>0.2464747155739917</v>
      </c>
      <c r="Q984" s="257">
        <v>0.78</v>
      </c>
      <c r="R984" s="258">
        <f t="shared" si="565"/>
        <v>36.685740000000003</v>
      </c>
      <c r="S984" s="259">
        <f t="shared" si="579"/>
        <v>-4.1038226497232114E-2</v>
      </c>
      <c r="T984" s="260">
        <f t="shared" si="566"/>
        <v>2.7067078039969848E-2</v>
      </c>
      <c r="U984" s="261">
        <v>0.65600999999999998</v>
      </c>
      <c r="V984" s="262">
        <f t="shared" si="567"/>
        <v>0.78721199999999991</v>
      </c>
      <c r="W984" s="262">
        <f t="shared" si="568"/>
        <v>37.024941995999995</v>
      </c>
      <c r="X984" s="263">
        <f>(ROUND(W984/(1-$AB$977),0))</f>
        <v>47</v>
      </c>
      <c r="Y984" s="262">
        <f t="shared" si="569"/>
        <v>45.39</v>
      </c>
      <c r="Z984" s="263">
        <f t="shared" si="570"/>
        <v>89</v>
      </c>
      <c r="AA984" s="264">
        <f t="shared" si="571"/>
        <v>0.21223527668085115</v>
      </c>
      <c r="AB984" s="264">
        <f t="shared" si="572"/>
        <v>0.18429297210839404</v>
      </c>
      <c r="AC984" s="1677">
        <f t="shared" si="573"/>
        <v>3.5470367922449952E-2</v>
      </c>
      <c r="AD984" s="266">
        <f t="shared" si="574"/>
        <v>0.17941174654255324</v>
      </c>
      <c r="AE984" s="261">
        <f t="shared" si="575"/>
        <v>0.99929836497778157</v>
      </c>
      <c r="AF984" s="262">
        <f>(V984/(1-$AB$977))</f>
        <v>1.0092461538461537</v>
      </c>
      <c r="AG984" s="1869">
        <v>1.91</v>
      </c>
      <c r="AH984" s="264">
        <f t="shared" si="576"/>
        <v>0.21999999999999997</v>
      </c>
      <c r="AI984" s="1374">
        <f t="shared" si="580"/>
        <v>0.2246067947855131</v>
      </c>
      <c r="AJ984" s="333">
        <f>[1]Статистика!D259</f>
        <v>9011</v>
      </c>
      <c r="AK984" s="270">
        <f t="shared" si="581"/>
        <v>-288.44045799391569</v>
      </c>
      <c r="AL984" s="506">
        <f t="shared" si="582"/>
        <v>0.24701742763646004</v>
      </c>
      <c r="AM984" s="77">
        <f t="shared" si="583"/>
        <v>1.2109036423863307E-2</v>
      </c>
      <c r="AN984" s="77">
        <f t="shared" si="584"/>
        <v>3.7830076328656823E-3</v>
      </c>
      <c r="AO984" s="13"/>
      <c r="AP984" s="13"/>
    </row>
    <row r="985" spans="1:42" ht="15.75">
      <c r="A985" s="187"/>
      <c r="B985" s="356" t="s">
        <v>543</v>
      </c>
      <c r="C985" s="251" t="s">
        <v>219</v>
      </c>
      <c r="D985" s="251">
        <v>130</v>
      </c>
      <c r="E985" s="251">
        <v>5</v>
      </c>
      <c r="F985" s="251">
        <v>150</v>
      </c>
      <c r="G985" s="328">
        <v>131.47661115683255</v>
      </c>
      <c r="H985" s="357">
        <f t="shared" si="577"/>
        <v>140.67997393781084</v>
      </c>
      <c r="I985" s="357">
        <f t="shared" si="585"/>
        <v>71.746786708283537</v>
      </c>
      <c r="J985" s="1045">
        <f t="shared" si="578"/>
        <v>67.053071689984606</v>
      </c>
      <c r="K985" s="912">
        <v>169</v>
      </c>
      <c r="L985" s="322">
        <v>140</v>
      </c>
      <c r="M985" s="385">
        <f t="shared" si="562"/>
        <v>1.0769230769230769</v>
      </c>
      <c r="N985" s="382">
        <f t="shared" si="563"/>
        <v>84.5</v>
      </c>
      <c r="O985" s="918">
        <f>((N985/J985)-1)*100%</f>
        <v>0.26019581012902893</v>
      </c>
      <c r="P985" s="1676">
        <f t="shared" si="564"/>
        <v>0.17775309357853142</v>
      </c>
      <c r="Q985" s="257">
        <v>1.42</v>
      </c>
      <c r="R985" s="258">
        <f t="shared" si="565"/>
        <v>66.786860000000004</v>
      </c>
      <c r="S985" s="259">
        <f t="shared" si="579"/>
        <v>3.9701639801889045E-3</v>
      </c>
      <c r="T985" s="260">
        <f t="shared" si="566"/>
        <v>6.9130994374008436E-2</v>
      </c>
      <c r="U985" s="261">
        <v>1.1741199999999998</v>
      </c>
      <c r="V985" s="262">
        <f t="shared" si="567"/>
        <v>1.4089439999999998</v>
      </c>
      <c r="W985" s="262">
        <f t="shared" si="568"/>
        <v>66.266863151999985</v>
      </c>
      <c r="X985" s="263">
        <f>(ROUND(W985/(1-$AB$977),0))</f>
        <v>85</v>
      </c>
      <c r="Y985" s="262">
        <f t="shared" si="569"/>
        <v>81.599999999999994</v>
      </c>
      <c r="Z985" s="263">
        <f t="shared" si="570"/>
        <v>160</v>
      </c>
      <c r="AA985" s="264">
        <f t="shared" si="571"/>
        <v>0.22038984527058841</v>
      </c>
      <c r="AB985" s="264">
        <f t="shared" si="572"/>
        <v>0.18790608882352955</v>
      </c>
      <c r="AC985" s="1677">
        <f t="shared" si="573"/>
        <v>3.5539215686274606E-2</v>
      </c>
      <c r="AD985" s="266">
        <f t="shared" si="574"/>
        <v>0.18310079940828411</v>
      </c>
      <c r="AE985" s="261">
        <f t="shared" si="575"/>
        <v>1.7966108902260114</v>
      </c>
      <c r="AF985" s="262">
        <f>(V985/(1-$AB$977))</f>
        <v>1.8063384615384612</v>
      </c>
      <c r="AG985" s="1869">
        <v>3.41</v>
      </c>
      <c r="AH985" s="264">
        <f t="shared" si="576"/>
        <v>0.22</v>
      </c>
      <c r="AI985" s="1374">
        <f t="shared" si="580"/>
        <v>7.3780503003564396E-2</v>
      </c>
      <c r="AJ985" s="333">
        <f>[1]Статистика!D260</f>
        <v>2960</v>
      </c>
      <c r="AK985" s="270">
        <f t="shared" si="581"/>
        <v>16.687393241530003</v>
      </c>
      <c r="AL985" s="506">
        <f t="shared" si="582"/>
        <v>-1.4290911133443492E-2</v>
      </c>
      <c r="AM985" s="77">
        <f t="shared" si="583"/>
        <v>3.9776659432510702E-3</v>
      </c>
      <c r="AN985" s="77">
        <f t="shared" si="584"/>
        <v>-2.1886158566101994E-4</v>
      </c>
      <c r="AO985" s="13"/>
      <c r="AP985" s="13"/>
    </row>
    <row r="986" spans="1:42" ht="15.75">
      <c r="A986" s="187"/>
      <c r="B986" s="1678" t="s">
        <v>544</v>
      </c>
      <c r="C986" s="1679" t="s">
        <v>260</v>
      </c>
      <c r="D986" s="1680">
        <v>134</v>
      </c>
      <c r="E986" s="442">
        <v>5</v>
      </c>
      <c r="F986" s="442">
        <v>90</v>
      </c>
      <c r="G986" s="443">
        <v>136.27502762241036</v>
      </c>
      <c r="H986" s="444">
        <f t="shared" si="577"/>
        <v>145.81427955597908</v>
      </c>
      <c r="I986" s="444">
        <f t="shared" si="585"/>
        <v>74.365282573549337</v>
      </c>
      <c r="J986" s="1045">
        <f t="shared" si="578"/>
        <v>69.500264087429287</v>
      </c>
      <c r="K986" s="912">
        <v>226</v>
      </c>
      <c r="L986" s="322">
        <v>195</v>
      </c>
      <c r="M986" s="385">
        <f t="shared" si="562"/>
        <v>1.455223880597015</v>
      </c>
      <c r="N986" s="382">
        <f t="shared" si="563"/>
        <v>113</v>
      </c>
      <c r="O986" s="918">
        <f>((N986/J986)-1)*100%</f>
        <v>0.62589310247583119</v>
      </c>
      <c r="P986" s="818">
        <f t="shared" si="564"/>
        <v>0.51952626399610402</v>
      </c>
      <c r="Q986" s="331">
        <v>1.5615313225058005</v>
      </c>
      <c r="R986" s="382">
        <f t="shared" si="565"/>
        <v>73.443502691415318</v>
      </c>
      <c r="S986" s="918">
        <f t="shared" si="579"/>
        <v>-5.6737030510064734E-2</v>
      </c>
      <c r="T986" s="696">
        <f t="shared" si="566"/>
        <v>1.2395298588724546E-2</v>
      </c>
      <c r="U986" s="261">
        <v>1.2873949999999998</v>
      </c>
      <c r="V986" s="262">
        <f t="shared" si="567"/>
        <v>1.5448739999999999</v>
      </c>
      <c r="W986" s="262">
        <f t="shared" si="568"/>
        <v>72.660058841999998</v>
      </c>
      <c r="X986" s="263">
        <f>(ROUND(W986/(1-$AB$977),0))</f>
        <v>93</v>
      </c>
      <c r="Y986" s="262">
        <f t="shared" si="569"/>
        <v>89.25</v>
      </c>
      <c r="Z986" s="263">
        <f t="shared" si="570"/>
        <v>175</v>
      </c>
      <c r="AA986" s="264">
        <f t="shared" si="571"/>
        <v>0.21870904470967745</v>
      </c>
      <c r="AB986" s="264">
        <f t="shared" si="572"/>
        <v>0.18588169364705884</v>
      </c>
      <c r="AC986" s="1677">
        <f t="shared" si="573"/>
        <v>0.26610644257703076</v>
      </c>
      <c r="AD986" s="266">
        <f t="shared" si="574"/>
        <v>0.3301985726216814</v>
      </c>
      <c r="AE986" s="261">
        <f t="shared" si="575"/>
        <v>2.4025684094146662</v>
      </c>
      <c r="AF986" s="262">
        <f>(V986/(1-$AB$977))</f>
        <v>1.9806076923076921</v>
      </c>
      <c r="AG986" s="1869">
        <v>3.74</v>
      </c>
      <c r="AH986" s="264">
        <f t="shared" si="576"/>
        <v>0.21999999999999997</v>
      </c>
      <c r="AI986" s="1374">
        <f t="shared" si="580"/>
        <v>2.183504075375757E-2</v>
      </c>
      <c r="AJ986" s="333">
        <f>[1]Статистика!D261</f>
        <v>876</v>
      </c>
      <c r="AK986" s="270">
        <f t="shared" si="581"/>
        <v>-77.610665651791606</v>
      </c>
      <c r="AL986" s="506">
        <f t="shared" si="582"/>
        <v>6.6464972077056275E-2</v>
      </c>
      <c r="AM986" s="77">
        <f t="shared" si="583"/>
        <v>1.1771741102324113E-3</v>
      </c>
      <c r="AN986" s="77">
        <f t="shared" si="584"/>
        <v>1.017893753859964E-3</v>
      </c>
      <c r="AO986" s="13"/>
      <c r="AP986" s="13"/>
    </row>
    <row r="987" spans="1:42" ht="15.75">
      <c r="A987" s="187"/>
      <c r="B987" s="356" t="s">
        <v>874</v>
      </c>
      <c r="C987" s="1393" t="s">
        <v>698</v>
      </c>
      <c r="D987" s="804">
        <v>136</v>
      </c>
      <c r="E987" s="804">
        <v>5</v>
      </c>
      <c r="F987" s="251">
        <v>150</v>
      </c>
      <c r="G987" s="328"/>
      <c r="H987" s="453">
        <v>152</v>
      </c>
      <c r="I987" s="444">
        <f t="shared" si="585"/>
        <v>77.52</v>
      </c>
      <c r="J987" s="1045"/>
      <c r="K987" s="912">
        <v>164</v>
      </c>
      <c r="L987" s="322">
        <v>136</v>
      </c>
      <c r="M987" s="385">
        <f t="shared" si="562"/>
        <v>1</v>
      </c>
      <c r="N987" s="382">
        <f t="shared" si="563"/>
        <v>82</v>
      </c>
      <c r="O987" s="918"/>
      <c r="P987" s="358">
        <f t="shared" si="564"/>
        <v>5.7791537667698734E-2</v>
      </c>
      <c r="Q987" s="331">
        <v>1.6080000000000001</v>
      </c>
      <c r="R987" s="382">
        <f t="shared" si="565"/>
        <v>75.629064</v>
      </c>
      <c r="S987" s="918"/>
      <c r="T987" s="696">
        <f t="shared" si="566"/>
        <v>2.4392879256965899E-2</v>
      </c>
      <c r="U987" s="261">
        <v>1.34</v>
      </c>
      <c r="V987" s="262">
        <f t="shared" si="567"/>
        <v>1.6080000000000001</v>
      </c>
      <c r="W987" s="262">
        <f t="shared" si="568"/>
        <v>75.629064</v>
      </c>
      <c r="X987" s="263">
        <f>(ROUND(W987/(1-$AA$977),0))</f>
        <v>85</v>
      </c>
      <c r="Y987" s="262">
        <f t="shared" si="569"/>
        <v>81.599999999999994</v>
      </c>
      <c r="Z987" s="263">
        <f t="shared" si="570"/>
        <v>160</v>
      </c>
      <c r="AA987" s="264">
        <f t="shared" si="571"/>
        <v>0.11024630588235294</v>
      </c>
      <c r="AB987" s="264">
        <f t="shared" si="572"/>
        <v>7.3173235294117581E-2</v>
      </c>
      <c r="AC987" s="1675">
        <f t="shared" si="573"/>
        <v>4.9019607843137081E-3</v>
      </c>
      <c r="AD987" s="266">
        <f t="shared" si="574"/>
        <v>3.9264939024390232E-2</v>
      </c>
      <c r="AE987" s="261">
        <f t="shared" si="575"/>
        <v>1.7434567218761294</v>
      </c>
      <c r="AF987" s="262">
        <f>(V987/(1-$AA$977))</f>
        <v>1.806741573033708</v>
      </c>
      <c r="AG987" s="1869">
        <v>3.41</v>
      </c>
      <c r="AH987" s="264">
        <f t="shared" si="576"/>
        <v>0.11</v>
      </c>
      <c r="AI987" s="459"/>
      <c r="AJ987" s="460"/>
      <c r="AK987" s="461"/>
      <c r="AL987" s="1249"/>
      <c r="AM987" s="459"/>
      <c r="AN987" s="459"/>
      <c r="AO987" s="13"/>
      <c r="AP987" s="13"/>
    </row>
    <row r="988" spans="1:42" ht="15.75">
      <c r="A988" s="187"/>
      <c r="B988" s="356" t="s">
        <v>875</v>
      </c>
      <c r="C988" s="1393" t="s">
        <v>217</v>
      </c>
      <c r="D988" s="804">
        <v>136</v>
      </c>
      <c r="E988" s="804">
        <v>5</v>
      </c>
      <c r="F988" s="251">
        <v>150</v>
      </c>
      <c r="G988" s="328"/>
      <c r="H988" s="453">
        <v>152</v>
      </c>
      <c r="I988" s="444">
        <f t="shared" si="585"/>
        <v>77.52</v>
      </c>
      <c r="J988" s="1045"/>
      <c r="K988" s="912">
        <v>172</v>
      </c>
      <c r="L988" s="322">
        <v>136</v>
      </c>
      <c r="M988" s="385">
        <f t="shared" si="562"/>
        <v>1</v>
      </c>
      <c r="N988" s="382">
        <f t="shared" si="563"/>
        <v>86</v>
      </c>
      <c r="O988" s="918"/>
      <c r="P988" s="358">
        <f t="shared" si="564"/>
        <v>0.10939112487100111</v>
      </c>
      <c r="Q988" s="331">
        <v>1.6080000000000001</v>
      </c>
      <c r="R988" s="382">
        <f t="shared" si="565"/>
        <v>75.629064</v>
      </c>
      <c r="S988" s="918"/>
      <c r="T988" s="696">
        <f t="shared" si="566"/>
        <v>2.4392879256965899E-2</v>
      </c>
      <c r="U988" s="261">
        <v>1.34</v>
      </c>
      <c r="V988" s="262">
        <f t="shared" si="567"/>
        <v>1.6080000000000001</v>
      </c>
      <c r="W988" s="262">
        <f t="shared" si="568"/>
        <v>75.629064</v>
      </c>
      <c r="X988" s="263">
        <f>(ROUND(W988/(1-$AC$977),0))</f>
        <v>88</v>
      </c>
      <c r="Y988" s="262">
        <f t="shared" si="569"/>
        <v>84.66</v>
      </c>
      <c r="Z988" s="263">
        <f t="shared" si="570"/>
        <v>166</v>
      </c>
      <c r="AA988" s="264">
        <f t="shared" si="571"/>
        <v>0.14057881818181819</v>
      </c>
      <c r="AB988" s="264">
        <f t="shared" si="572"/>
        <v>0.1066729978738483</v>
      </c>
      <c r="AC988" s="1675">
        <f t="shared" si="573"/>
        <v>1.582801795416966E-2</v>
      </c>
      <c r="AD988" s="266">
        <f t="shared" si="574"/>
        <v>8.3950290697674443E-2</v>
      </c>
      <c r="AE988" s="261">
        <f t="shared" si="575"/>
        <v>1.8285033912359407</v>
      </c>
      <c r="AF988" s="262">
        <f>(V988/(1-$AC$977))</f>
        <v>1.8697674418604653</v>
      </c>
      <c r="AG988" s="1869">
        <v>3.53</v>
      </c>
      <c r="AH988" s="264">
        <f t="shared" si="576"/>
        <v>0.14000000000000001</v>
      </c>
      <c r="AI988" s="459"/>
      <c r="AJ988" s="460"/>
      <c r="AK988" s="461"/>
      <c r="AL988" s="1249"/>
      <c r="AM988" s="459"/>
      <c r="AN988" s="459"/>
      <c r="AO988" s="13"/>
      <c r="AP988" s="13"/>
    </row>
    <row r="989" spans="1:42" ht="15.75">
      <c r="A989" s="187"/>
      <c r="B989" s="356" t="s">
        <v>876</v>
      </c>
      <c r="C989" s="1681" t="s">
        <v>881</v>
      </c>
      <c r="D989" s="804">
        <v>150</v>
      </c>
      <c r="E989" s="804">
        <v>5</v>
      </c>
      <c r="F989" s="251">
        <v>120</v>
      </c>
      <c r="G989" s="328"/>
      <c r="H989" s="453">
        <v>161</v>
      </c>
      <c r="I989" s="444">
        <f t="shared" si="585"/>
        <v>82.11</v>
      </c>
      <c r="J989" s="1045"/>
      <c r="K989" s="912">
        <v>186</v>
      </c>
      <c r="L989" s="322">
        <v>152</v>
      </c>
      <c r="M989" s="385">
        <f t="shared" si="562"/>
        <v>1.0133333333333334</v>
      </c>
      <c r="N989" s="382">
        <f t="shared" si="563"/>
        <v>93</v>
      </c>
      <c r="O989" s="918"/>
      <c r="P989" s="358">
        <f t="shared" si="564"/>
        <v>0.13262696382900985</v>
      </c>
      <c r="Q989" s="331">
        <v>1.7855999999999999</v>
      </c>
      <c r="R989" s="382">
        <f t="shared" si="565"/>
        <v>83.982124799999994</v>
      </c>
      <c r="S989" s="918"/>
      <c r="T989" s="696">
        <f t="shared" si="566"/>
        <v>-2.2800204603580496E-2</v>
      </c>
      <c r="U989" s="261" t="s">
        <v>1421</v>
      </c>
      <c r="V989" s="262">
        <f t="shared" si="567"/>
        <v>1.7855999999999999</v>
      </c>
      <c r="W989" s="262">
        <f t="shared" si="568"/>
        <v>83.982124799999994</v>
      </c>
      <c r="X989" s="263">
        <f>(ROUND(W989/(1-$AA$977),0))</f>
        <v>94</v>
      </c>
      <c r="Y989" s="262">
        <f t="shared" si="569"/>
        <v>90.27</v>
      </c>
      <c r="Z989" s="263">
        <f t="shared" si="570"/>
        <v>177</v>
      </c>
      <c r="AA989" s="264">
        <f t="shared" si="571"/>
        <v>0.10657314042553198</v>
      </c>
      <c r="AB989" s="264">
        <f t="shared" si="572"/>
        <v>6.965631106679962E-2</v>
      </c>
      <c r="AC989" s="1675">
        <f t="shared" si="573"/>
        <v>3.0242605516783039E-2</v>
      </c>
      <c r="AD989" s="266">
        <f t="shared" si="574"/>
        <v>5.934000000000008E-2</v>
      </c>
      <c r="AE989" s="261">
        <f t="shared" si="575"/>
        <v>1.9773350626156103</v>
      </c>
      <c r="AF989" s="262">
        <f>(V989/(1-$AA$977))</f>
        <v>2.0062921348314604</v>
      </c>
      <c r="AG989" s="1869">
        <v>3.79</v>
      </c>
      <c r="AH989" s="264">
        <f t="shared" si="576"/>
        <v>0.10999999999999996</v>
      </c>
      <c r="AI989" s="459"/>
      <c r="AJ989" s="460"/>
      <c r="AK989" s="461"/>
      <c r="AL989" s="1249"/>
      <c r="AM989" s="459"/>
      <c r="AN989" s="459"/>
      <c r="AO989" s="13"/>
      <c r="AP989" s="13"/>
    </row>
    <row r="990" spans="1:42" ht="15.75">
      <c r="A990" s="187"/>
      <c r="B990" s="356" t="s">
        <v>877</v>
      </c>
      <c r="C990" s="1681" t="s">
        <v>882</v>
      </c>
      <c r="D990" s="804">
        <v>170</v>
      </c>
      <c r="E990" s="804">
        <v>5</v>
      </c>
      <c r="F990" s="251">
        <v>120</v>
      </c>
      <c r="G990" s="328"/>
      <c r="H990" s="453">
        <v>182</v>
      </c>
      <c r="I990" s="444">
        <f t="shared" si="585"/>
        <v>92.820000000000007</v>
      </c>
      <c r="J990" s="1045"/>
      <c r="K990" s="912">
        <v>200</v>
      </c>
      <c r="L990" s="322">
        <v>168</v>
      </c>
      <c r="M990" s="385">
        <f t="shared" si="562"/>
        <v>0.9882352941176471</v>
      </c>
      <c r="N990" s="382">
        <f t="shared" si="563"/>
        <v>100</v>
      </c>
      <c r="O990" s="918"/>
      <c r="P990" s="358">
        <f t="shared" si="564"/>
        <v>7.7354018530489066E-2</v>
      </c>
      <c r="Q990" s="331">
        <v>2.0231999999999997</v>
      </c>
      <c r="R990" s="382">
        <f t="shared" si="565"/>
        <v>95.157165599999985</v>
      </c>
      <c r="S990" s="918"/>
      <c r="T990" s="696">
        <f t="shared" si="566"/>
        <v>-2.5179547511311972E-2</v>
      </c>
      <c r="U990" s="261" t="s">
        <v>1422</v>
      </c>
      <c r="V990" s="262">
        <f t="shared" si="567"/>
        <v>2.0231999999999997</v>
      </c>
      <c r="W990" s="262">
        <f t="shared" si="568"/>
        <v>95.157165599999985</v>
      </c>
      <c r="X990" s="263">
        <f>(ROUND(W990/(1-$Z$977),0))</f>
        <v>106</v>
      </c>
      <c r="Y990" s="262">
        <f t="shared" si="569"/>
        <v>102</v>
      </c>
      <c r="Z990" s="263">
        <f t="shared" si="570"/>
        <v>200</v>
      </c>
      <c r="AA990" s="264">
        <f t="shared" si="571"/>
        <v>0.10229089056603788</v>
      </c>
      <c r="AB990" s="264">
        <f t="shared" si="572"/>
        <v>6.7086611764706025E-2</v>
      </c>
      <c r="AC990" s="768">
        <f t="shared" si="573"/>
        <v>-1.9607843137254943E-2</v>
      </c>
      <c r="AD990" s="266">
        <f t="shared" si="574"/>
        <v>8.7795250000001577E-3</v>
      </c>
      <c r="AE990" s="261">
        <f t="shared" si="575"/>
        <v>2.1261667339952797</v>
      </c>
      <c r="AF990" s="262">
        <f>(V990/(1-$Z$977))</f>
        <v>2.2479999999999998</v>
      </c>
      <c r="AG990" s="1869">
        <v>4.24</v>
      </c>
      <c r="AH990" s="264">
        <f t="shared" si="576"/>
        <v>0.10000000000000006</v>
      </c>
      <c r="AI990" s="459"/>
      <c r="AJ990" s="460"/>
      <c r="AK990" s="461"/>
      <c r="AL990" s="1249"/>
      <c r="AM990" s="459"/>
      <c r="AN990" s="459"/>
      <c r="AO990" s="13"/>
      <c r="AP990" s="13"/>
    </row>
    <row r="991" spans="1:42" ht="15.75">
      <c r="A991" s="187"/>
      <c r="B991" s="356" t="s">
        <v>878</v>
      </c>
      <c r="C991" s="1681" t="s">
        <v>883</v>
      </c>
      <c r="D991" s="804">
        <v>170</v>
      </c>
      <c r="E991" s="804">
        <v>5</v>
      </c>
      <c r="F991" s="251">
        <v>120</v>
      </c>
      <c r="G991" s="328"/>
      <c r="H991" s="453">
        <v>182</v>
      </c>
      <c r="I991" s="444">
        <f t="shared" si="585"/>
        <v>92.820000000000007</v>
      </c>
      <c r="J991" s="1045"/>
      <c r="K991" s="912">
        <v>206</v>
      </c>
      <c r="L991" s="322">
        <v>170</v>
      </c>
      <c r="M991" s="385">
        <f t="shared" si="562"/>
        <v>1</v>
      </c>
      <c r="N991" s="382">
        <f t="shared" si="563"/>
        <v>103</v>
      </c>
      <c r="O991" s="918"/>
      <c r="P991" s="358">
        <f t="shared" si="564"/>
        <v>0.10967463908640362</v>
      </c>
      <c r="Q991" s="331">
        <v>2.0231999999999997</v>
      </c>
      <c r="R991" s="382">
        <f t="shared" si="565"/>
        <v>95.157165599999985</v>
      </c>
      <c r="S991" s="918"/>
      <c r="T991" s="696">
        <f t="shared" si="566"/>
        <v>-2.5179547511311972E-2</v>
      </c>
      <c r="U991" s="261" t="s">
        <v>1422</v>
      </c>
      <c r="V991" s="262">
        <f t="shared" si="567"/>
        <v>2.0231999999999997</v>
      </c>
      <c r="W991" s="262">
        <f t="shared" si="568"/>
        <v>95.157165599999985</v>
      </c>
      <c r="X991" s="263">
        <f>(ROUND(W991/(1-$AA$977),0))</f>
        <v>107</v>
      </c>
      <c r="Y991" s="262">
        <f t="shared" si="569"/>
        <v>103.02</v>
      </c>
      <c r="Z991" s="263">
        <f t="shared" si="570"/>
        <v>202</v>
      </c>
      <c r="AA991" s="264">
        <f t="shared" si="571"/>
        <v>0.11068069532710295</v>
      </c>
      <c r="AB991" s="264">
        <f t="shared" si="572"/>
        <v>7.6323377984857416E-2</v>
      </c>
      <c r="AC991" s="1675">
        <f t="shared" si="573"/>
        <v>-1.9413706076487625E-4</v>
      </c>
      <c r="AD991" s="266">
        <f t="shared" si="574"/>
        <v>3.7650024271844766E-2</v>
      </c>
      <c r="AE991" s="261">
        <f t="shared" si="575"/>
        <v>2.1899517360151384</v>
      </c>
      <c r="AF991" s="262">
        <f>(V991/(1-$AA$977))</f>
        <v>2.2732584269662919</v>
      </c>
      <c r="AG991" s="1869">
        <v>4.29</v>
      </c>
      <c r="AH991" s="264">
        <f t="shared" si="576"/>
        <v>0.11000000000000004</v>
      </c>
      <c r="AI991" s="459"/>
      <c r="AJ991" s="460"/>
      <c r="AK991" s="461"/>
      <c r="AL991" s="1249"/>
      <c r="AM991" s="459"/>
      <c r="AN991" s="459"/>
      <c r="AO991" s="13"/>
      <c r="AP991" s="13"/>
    </row>
    <row r="992" spans="1:42" ht="15.75">
      <c r="A992" s="187"/>
      <c r="B992" s="249" t="s">
        <v>544</v>
      </c>
      <c r="C992" s="1681" t="s">
        <v>260</v>
      </c>
      <c r="D992" s="1682">
        <v>134</v>
      </c>
      <c r="E992" s="804">
        <v>5</v>
      </c>
      <c r="F992" s="251">
        <v>90</v>
      </c>
      <c r="G992" s="328"/>
      <c r="H992" s="453">
        <v>146</v>
      </c>
      <c r="I992" s="444">
        <f t="shared" si="585"/>
        <v>74.460000000000008</v>
      </c>
      <c r="J992" s="1045"/>
      <c r="K992" s="912">
        <v>226</v>
      </c>
      <c r="L992" s="322">
        <v>183</v>
      </c>
      <c r="M992" s="385">
        <f t="shared" si="562"/>
        <v>1.3656716417910448</v>
      </c>
      <c r="N992" s="382">
        <f t="shared" si="563"/>
        <v>113</v>
      </c>
      <c r="O992" s="918"/>
      <c r="P992" s="358">
        <f t="shared" si="564"/>
        <v>0.51759333870534507</v>
      </c>
      <c r="Q992" s="331">
        <v>1.5443999999999998</v>
      </c>
      <c r="R992" s="382">
        <f t="shared" si="565"/>
        <v>72.63776519999999</v>
      </c>
      <c r="S992" s="918"/>
      <c r="T992" s="696">
        <f t="shared" si="566"/>
        <v>2.4472667203868089E-2</v>
      </c>
      <c r="U992" s="261">
        <v>1.2869999999999999</v>
      </c>
      <c r="V992" s="262">
        <f t="shared" si="567"/>
        <v>1.5443999999999998</v>
      </c>
      <c r="W992" s="262">
        <f t="shared" si="568"/>
        <v>72.63776519999999</v>
      </c>
      <c r="X992" s="263">
        <f>(ROUND(W992/(1-$AB$977),0))</f>
        <v>93</v>
      </c>
      <c r="Y992" s="262">
        <f t="shared" si="569"/>
        <v>89.25</v>
      </c>
      <c r="Z992" s="263">
        <f t="shared" si="570"/>
        <v>175</v>
      </c>
      <c r="AA992" s="264">
        <f t="shared" si="571"/>
        <v>0.2189487612903227</v>
      </c>
      <c r="AB992" s="264">
        <f t="shared" si="572"/>
        <v>0.1861314823529413</v>
      </c>
      <c r="AC992" s="1677">
        <f t="shared" si="573"/>
        <v>0.26610644257703076</v>
      </c>
      <c r="AD992" s="266">
        <f t="shared" si="574"/>
        <v>0.33040408185840708</v>
      </c>
      <c r="AE992" s="261">
        <f t="shared" si="575"/>
        <v>2.4025684094146662</v>
      </c>
      <c r="AF992" s="262">
        <f>(V992/(1-$AB$977))</f>
        <v>1.9799999999999995</v>
      </c>
      <c r="AG992" s="1869">
        <v>3.74</v>
      </c>
      <c r="AH992" s="264">
        <f t="shared" si="576"/>
        <v>0.21999999999999995</v>
      </c>
      <c r="AI992" s="459"/>
      <c r="AJ992" s="460"/>
      <c r="AK992" s="461"/>
      <c r="AL992" s="1249"/>
      <c r="AM992" s="459"/>
      <c r="AN992" s="459"/>
      <c r="AO992" s="13"/>
      <c r="AP992" s="13"/>
    </row>
    <row r="993" spans="1:42" ht="15.75">
      <c r="A993" s="187"/>
      <c r="B993" s="249" t="s">
        <v>879</v>
      </c>
      <c r="C993" s="1681" t="s">
        <v>884</v>
      </c>
      <c r="D993" s="1682">
        <v>273</v>
      </c>
      <c r="E993" s="804">
        <v>4</v>
      </c>
      <c r="F993" s="251">
        <v>100</v>
      </c>
      <c r="G993" s="328"/>
      <c r="H993" s="453">
        <v>305</v>
      </c>
      <c r="I993" s="444">
        <f t="shared" si="585"/>
        <v>155.55000000000001</v>
      </c>
      <c r="J993" s="1045"/>
      <c r="K993" s="912">
        <v>337</v>
      </c>
      <c r="L993" s="322">
        <v>273</v>
      </c>
      <c r="M993" s="385">
        <f t="shared" si="562"/>
        <v>1</v>
      </c>
      <c r="N993" s="382">
        <f t="shared" si="563"/>
        <v>168.5</v>
      </c>
      <c r="O993" s="918"/>
      <c r="P993" s="358">
        <f t="shared" si="564"/>
        <v>8.3252973320475654E-2</v>
      </c>
      <c r="Q993" s="331">
        <v>3.1783979999999996</v>
      </c>
      <c r="R993" s="382">
        <f t="shared" si="565"/>
        <v>149.48959313399999</v>
      </c>
      <c r="S993" s="918"/>
      <c r="T993" s="696">
        <f t="shared" si="566"/>
        <v>3.8961149893924921E-2</v>
      </c>
      <c r="U993" s="261">
        <v>2.6486649999999998</v>
      </c>
      <c r="V993" s="262">
        <f t="shared" si="567"/>
        <v>3.1783979999999996</v>
      </c>
      <c r="W993" s="262">
        <f t="shared" si="568"/>
        <v>149.48959313399999</v>
      </c>
      <c r="X993" s="263">
        <f>(ROUND(W993/(1-$AC$977),0))</f>
        <v>174</v>
      </c>
      <c r="Y993" s="262">
        <f t="shared" si="569"/>
        <v>167.28</v>
      </c>
      <c r="Z993" s="263">
        <f t="shared" si="570"/>
        <v>328</v>
      </c>
      <c r="AA993" s="264">
        <f t="shared" si="571"/>
        <v>0.14086440727586214</v>
      </c>
      <c r="AB993" s="264">
        <f t="shared" si="572"/>
        <v>0.10635106926111915</v>
      </c>
      <c r="AC993" s="1675">
        <f t="shared" si="573"/>
        <v>7.293161166905815E-3</v>
      </c>
      <c r="AD993" s="266">
        <f t="shared" si="574"/>
        <v>7.5855630971810098E-2</v>
      </c>
      <c r="AE993" s="261">
        <f t="shared" si="575"/>
        <v>3.5825909467820467</v>
      </c>
      <c r="AF993" s="262">
        <f>(V993/(1-$AC$977))</f>
        <v>3.6958116279069761</v>
      </c>
      <c r="AG993" s="1869">
        <v>6.97</v>
      </c>
      <c r="AH993" s="264">
        <f t="shared" si="576"/>
        <v>0.13999999999999996</v>
      </c>
      <c r="AI993" s="459"/>
      <c r="AJ993" s="460"/>
      <c r="AK993" s="461"/>
      <c r="AL993" s="1249"/>
      <c r="AM993" s="459"/>
      <c r="AN993" s="459"/>
      <c r="AO993" s="13"/>
      <c r="AP993" s="13"/>
    </row>
    <row r="994" spans="1:42" ht="15.75">
      <c r="A994" s="187"/>
      <c r="B994" s="249" t="s">
        <v>880</v>
      </c>
      <c r="C994" s="1681" t="s">
        <v>885</v>
      </c>
      <c r="D994" s="1682">
        <v>257</v>
      </c>
      <c r="E994" s="804">
        <v>4</v>
      </c>
      <c r="F994" s="251">
        <v>100</v>
      </c>
      <c r="G994" s="328"/>
      <c r="H994" s="453">
        <v>293</v>
      </c>
      <c r="I994" s="444">
        <f t="shared" si="585"/>
        <v>149.43</v>
      </c>
      <c r="J994" s="1045"/>
      <c r="K994" s="912">
        <v>316</v>
      </c>
      <c r="L994" s="322">
        <v>257</v>
      </c>
      <c r="M994" s="385">
        <f t="shared" si="562"/>
        <v>1</v>
      </c>
      <c r="N994" s="382">
        <f t="shared" si="563"/>
        <v>158</v>
      </c>
      <c r="O994" s="918"/>
      <c r="P994" s="358">
        <f t="shared" si="564"/>
        <v>5.7351268152312063E-2</v>
      </c>
      <c r="Q994" s="331">
        <v>2.9916419999999997</v>
      </c>
      <c r="R994" s="382">
        <f t="shared" si="565"/>
        <v>140.70589818599998</v>
      </c>
      <c r="S994" s="918"/>
      <c r="T994" s="696">
        <f t="shared" si="566"/>
        <v>5.8382532383055755E-2</v>
      </c>
      <c r="U994" s="261">
        <v>2.5310000000000001</v>
      </c>
      <c r="V994" s="262">
        <f t="shared" si="567"/>
        <v>3.0371999999999999</v>
      </c>
      <c r="W994" s="262">
        <f t="shared" si="568"/>
        <v>142.84862759999999</v>
      </c>
      <c r="X994" s="263">
        <f>(ROUND(W994/(1-$AC$977),0))</f>
        <v>166</v>
      </c>
      <c r="Y994" s="262">
        <f t="shared" si="569"/>
        <v>159.63</v>
      </c>
      <c r="Z994" s="263">
        <f t="shared" si="570"/>
        <v>313</v>
      </c>
      <c r="AA994" s="264">
        <f t="shared" si="571"/>
        <v>0.13946609879518079</v>
      </c>
      <c r="AB994" s="264">
        <f t="shared" si="572"/>
        <v>0.10512668295433196</v>
      </c>
      <c r="AC994" s="1675">
        <f t="shared" si="573"/>
        <v>-1.0211113199273258E-2</v>
      </c>
      <c r="AD994" s="266">
        <f t="shared" si="574"/>
        <v>5.8223710443038111E-2</v>
      </c>
      <c r="AE994" s="261">
        <f t="shared" si="575"/>
        <v>3.3593434397125423</v>
      </c>
      <c r="AF994" s="262">
        <f>(V994/(1-$AC$977))</f>
        <v>3.5316279069767442</v>
      </c>
      <c r="AG994" s="1869">
        <v>6.67</v>
      </c>
      <c r="AH994" s="264">
        <f t="shared" si="576"/>
        <v>0.14000000000000004</v>
      </c>
      <c r="AI994" s="459"/>
      <c r="AJ994" s="460"/>
      <c r="AK994" s="461"/>
      <c r="AL994" s="1249"/>
      <c r="AM994" s="459"/>
      <c r="AN994" s="459"/>
      <c r="AO994" s="13"/>
      <c r="AP994" s="13"/>
    </row>
    <row r="995" spans="1:42" ht="16.5" thickBot="1">
      <c r="A995" s="187"/>
      <c r="B995" s="274" t="s">
        <v>1423</v>
      </c>
      <c r="C995" s="1683" t="s">
        <v>1424</v>
      </c>
      <c r="D995" s="1684">
        <v>233</v>
      </c>
      <c r="E995" s="790">
        <v>4</v>
      </c>
      <c r="F995" s="276">
        <v>100</v>
      </c>
      <c r="G995" s="328"/>
      <c r="H995" s="453">
        <v>293</v>
      </c>
      <c r="I995" s="444">
        <f t="shared" si="585"/>
        <v>149.43</v>
      </c>
      <c r="J995" s="1045"/>
      <c r="K995" s="912">
        <v>325</v>
      </c>
      <c r="L995" s="322">
        <v>258</v>
      </c>
      <c r="M995" s="385">
        <f t="shared" si="562"/>
        <v>1.1072961373390557</v>
      </c>
      <c r="N995" s="382">
        <f t="shared" si="563"/>
        <v>162.5</v>
      </c>
      <c r="O995" s="918"/>
      <c r="P995" s="358">
        <f t="shared" si="564"/>
        <v>8.7465703004751427E-2</v>
      </c>
      <c r="Q995" s="331">
        <v>3.0034619999999999</v>
      </c>
      <c r="R995" s="382">
        <f t="shared" si="565"/>
        <v>141.26182824599999</v>
      </c>
      <c r="S995" s="918"/>
      <c r="T995" s="696">
        <f t="shared" si="566"/>
        <v>5.4662194699859556E-2</v>
      </c>
      <c r="U995" s="261">
        <v>2.56</v>
      </c>
      <c r="V995" s="262">
        <f t="shared" si="567"/>
        <v>3.0720000000000001</v>
      </c>
      <c r="W995" s="262">
        <f t="shared" si="568"/>
        <v>144.485376</v>
      </c>
      <c r="X995" s="263">
        <f>(ROUND(W995/(1-$AC$977),0))</f>
        <v>168</v>
      </c>
      <c r="Y995" s="262">
        <f t="shared" si="569"/>
        <v>161.67000000000002</v>
      </c>
      <c r="Z995" s="263">
        <f t="shared" si="570"/>
        <v>317</v>
      </c>
      <c r="AA995" s="264">
        <f t="shared" si="571"/>
        <v>0.13996799999999998</v>
      </c>
      <c r="AB995" s="264">
        <f t="shared" si="572"/>
        <v>0.10629445166079057</v>
      </c>
      <c r="AC995" s="1675">
        <f t="shared" si="573"/>
        <v>5.1339147646438654E-3</v>
      </c>
      <c r="AD995" s="266">
        <f t="shared" si="574"/>
        <v>7.3811692307692287E-2</v>
      </c>
      <c r="AE995" s="261">
        <f t="shared" si="575"/>
        <v>3.4550209427423297</v>
      </c>
      <c r="AF995" s="262">
        <f>(V995/(1-$AC$977))</f>
        <v>3.5720930232558139</v>
      </c>
      <c r="AG995" s="1869">
        <f>AF995/(1-$X$828)</f>
        <v>6.7397981570864411</v>
      </c>
      <c r="AH995" s="264">
        <f t="shared" si="576"/>
        <v>0.13999999999999996</v>
      </c>
      <c r="AI995" s="459"/>
      <c r="AJ995" s="460"/>
      <c r="AK995" s="461"/>
      <c r="AL995" s="1249"/>
      <c r="AM995" s="459"/>
      <c r="AN995" s="459"/>
      <c r="AO995" s="13"/>
      <c r="AP995" s="13"/>
    </row>
    <row r="996" spans="1:42" ht="16.5" thickBot="1">
      <c r="A996" s="149" t="s">
        <v>1425</v>
      </c>
      <c r="C996" s="157" t="s">
        <v>39</v>
      </c>
      <c r="J996" s="532"/>
      <c r="K996" s="533"/>
      <c r="P996" s="1685"/>
      <c r="S996" s="364"/>
      <c r="T996" s="364"/>
      <c r="U996" s="872"/>
      <c r="V996" s="872"/>
      <c r="W996" s="872"/>
      <c r="X996" s="872"/>
      <c r="Y996" s="872"/>
      <c r="Z996" s="872"/>
      <c r="AA996" s="364"/>
      <c r="AB996" s="364"/>
      <c r="AC996" s="364"/>
      <c r="AD996" s="364">
        <f>AVERAGE(AD979:AD995)</f>
        <v>9.8035770880012307E-2</v>
      </c>
      <c r="AE996" s="872"/>
      <c r="AF996" s="872"/>
      <c r="AG996" s="1882"/>
      <c r="AH996" s="364"/>
      <c r="AI996" s="512">
        <f>S981*AI981+S982*AI982+S983*AI983+S984*AI984+S985*AI985+S986*AI986</f>
        <v>-4.7401841726487239E-2</v>
      </c>
      <c r="AJ996" s="513">
        <f>SUM(AJ981:AJ986)</f>
        <v>40119</v>
      </c>
      <c r="AK996" s="514">
        <f>SUM(AK981:AK986)</f>
        <v>-1167.6927444099963</v>
      </c>
      <c r="AM996" s="307">
        <f>SUM(AM981:AM986)</f>
        <v>5.3912155397733003E-2</v>
      </c>
      <c r="AN996" s="307">
        <f>SUM(AN981:AN986)</f>
        <v>1.5314739810314936E-2</v>
      </c>
      <c r="AO996" s="13"/>
      <c r="AP996" s="13"/>
    </row>
    <row r="997" spans="1:42" ht="15.75" thickBot="1">
      <c r="A997" s="187"/>
      <c r="B997" s="157"/>
      <c r="C997" s="148" t="s">
        <v>25</v>
      </c>
      <c r="J997" s="532"/>
      <c r="K997" s="2309" t="s">
        <v>1426</v>
      </c>
      <c r="L997" s="2309"/>
      <c r="M997" s="2309"/>
      <c r="N997" s="2309"/>
      <c r="O997" s="2309"/>
      <c r="P997" s="1852"/>
      <c r="T997" s="1851"/>
      <c r="U997" s="309"/>
      <c r="V997" s="309"/>
      <c r="W997" s="309"/>
      <c r="X997" s="309"/>
      <c r="Y997" s="309"/>
      <c r="Z997" s="309"/>
      <c r="AA997" s="346">
        <v>0.19</v>
      </c>
      <c r="AB997" s="628">
        <v>0.1</v>
      </c>
      <c r="AC997" s="628">
        <v>0.14000000000000001</v>
      </c>
      <c r="AD997" s="585">
        <v>0.08</v>
      </c>
      <c r="AE997" s="188"/>
      <c r="AF997" s="188"/>
      <c r="AG997" s="1866"/>
      <c r="AH997" s="1851"/>
      <c r="AO997" s="13"/>
      <c r="AP997" s="13"/>
    </row>
    <row r="998" spans="1:42" ht="60.75" thickBot="1">
      <c r="A998" s="187"/>
      <c r="B998" s="369" t="s">
        <v>10</v>
      </c>
      <c r="C998" s="1334" t="s">
        <v>11</v>
      </c>
      <c r="D998" s="370" t="s">
        <v>12</v>
      </c>
      <c r="E998" s="370" t="s">
        <v>13</v>
      </c>
      <c r="F998" s="370" t="s">
        <v>14</v>
      </c>
      <c r="G998" s="371" t="s">
        <v>15</v>
      </c>
      <c r="H998" s="372" t="s">
        <v>1090</v>
      </c>
      <c r="I998" s="372">
        <f>$C$20</f>
        <v>0.49</v>
      </c>
      <c r="J998" s="1644">
        <f>$C$20</f>
        <v>0.49</v>
      </c>
      <c r="K998" s="601" t="s">
        <v>15</v>
      </c>
      <c r="L998" s="315" t="s">
        <v>12</v>
      </c>
      <c r="M998" s="316" t="s">
        <v>1091</v>
      </c>
      <c r="N998" s="605" t="s">
        <v>993</v>
      </c>
      <c r="O998" s="317" t="s">
        <v>1092</v>
      </c>
      <c r="P998" s="1375" t="s">
        <v>1092</v>
      </c>
      <c r="Q998" s="1686" t="s">
        <v>1093</v>
      </c>
      <c r="R998" s="1687" t="s">
        <v>1094</v>
      </c>
      <c r="S998" s="1688" t="s">
        <v>1095</v>
      </c>
      <c r="T998" s="1117" t="s">
        <v>1095</v>
      </c>
      <c r="U998" s="1344" t="s">
        <v>1096</v>
      </c>
      <c r="V998" s="1345" t="s">
        <v>1093</v>
      </c>
      <c r="W998" s="1346" t="s">
        <v>1094</v>
      </c>
      <c r="X998" s="1347" t="s">
        <v>1097</v>
      </c>
      <c r="Y998" s="1348">
        <v>0.49</v>
      </c>
      <c r="Z998" s="1347" t="s">
        <v>1098</v>
      </c>
      <c r="AA998" s="1349" t="s">
        <v>1099</v>
      </c>
      <c r="AB998" s="1349" t="s">
        <v>1100</v>
      </c>
      <c r="AC998" s="1350" t="s">
        <v>1092</v>
      </c>
      <c r="AD998" s="1351" t="s">
        <v>1101</v>
      </c>
      <c r="AE998" s="1664" t="s">
        <v>1102</v>
      </c>
      <c r="AF998" s="1348" t="s">
        <v>1103</v>
      </c>
      <c r="AG998" s="1895" t="s">
        <v>1104</v>
      </c>
      <c r="AH998" s="1352" t="s">
        <v>1105</v>
      </c>
      <c r="AI998" s="220" t="s">
        <v>1106</v>
      </c>
      <c r="AJ998" s="483" t="s">
        <v>1107</v>
      </c>
      <c r="AK998" s="484" t="s">
        <v>1108</v>
      </c>
      <c r="AL998" s="221" t="s">
        <v>1109</v>
      </c>
      <c r="AM998" s="221" t="s">
        <v>1175</v>
      </c>
      <c r="AN998" s="221" t="s">
        <v>1176</v>
      </c>
      <c r="AO998" s="13"/>
      <c r="AP998" s="13"/>
    </row>
    <row r="999" spans="1:42" ht="15.75">
      <c r="A999" s="187"/>
      <c r="B999" s="1689" t="s">
        <v>887</v>
      </c>
      <c r="C999" s="1690" t="s">
        <v>890</v>
      </c>
      <c r="D999" s="1690">
        <v>11</v>
      </c>
      <c r="E999" s="1690">
        <v>40</v>
      </c>
      <c r="F999" s="1690">
        <v>1000</v>
      </c>
      <c r="G999" s="1691"/>
      <c r="H999" s="1692">
        <v>13</v>
      </c>
      <c r="I999" s="397">
        <f>H999-H999*$J$833</f>
        <v>6.63</v>
      </c>
      <c r="J999" s="1693"/>
      <c r="K999" s="912">
        <v>14</v>
      </c>
      <c r="L999" s="322">
        <v>8</v>
      </c>
      <c r="M999" s="385">
        <f>L999/D999*100%</f>
        <v>0.72727272727272729</v>
      </c>
      <c r="N999" s="382">
        <f>K999-(K999*$O$33)</f>
        <v>7</v>
      </c>
      <c r="O999" s="918"/>
      <c r="P999" s="472">
        <f t="shared" ref="P999:P1016" si="586">((N999/I999)-1)*100%</f>
        <v>5.580693815987936E-2</v>
      </c>
      <c r="Q999" s="1694">
        <v>0.14399999999999999</v>
      </c>
      <c r="R999" s="258">
        <f t="shared" ref="R999:R1016" si="587">Q999*$R$33</f>
        <v>6.7727519999999997</v>
      </c>
      <c r="S999" s="1695"/>
      <c r="T999" s="1227">
        <f t="shared" ref="T999:T1016" si="588">((I999-R999)/I999)*100%</f>
        <v>-2.153122171945698E-2</v>
      </c>
      <c r="U999" s="1358" t="s">
        <v>1427</v>
      </c>
      <c r="V999" s="1359">
        <f t="shared" ref="V999:V1016" si="589">U999*$X$31</f>
        <v>0.14399999999999999</v>
      </c>
      <c r="W999" s="1359">
        <f t="shared" ref="W999:W1016" si="590">V999*$R$33</f>
        <v>6.7727519999999997</v>
      </c>
      <c r="X999" s="1360">
        <f>(ROUND(W999/(1-$AB$997),0))</f>
        <v>8</v>
      </c>
      <c r="Y999" s="1359">
        <f t="shared" ref="Y999:Y1016" si="591">Z999*(1-$X$33)</f>
        <v>7.65</v>
      </c>
      <c r="Z999" s="1360">
        <f t="shared" ref="Z999:Z1016" si="592">ROUND(X999/(1-$X$828),0)</f>
        <v>15</v>
      </c>
      <c r="AA999" s="1361">
        <f t="shared" ref="AA999:AA1016" si="593">((X999-W999)/X999)*100%</f>
        <v>0.15340600000000004</v>
      </c>
      <c r="AB999" s="1361">
        <f t="shared" ref="AB999:AB1016" si="594">((Y999-W999)/Y999)*100%</f>
        <v>0.11467294117647067</v>
      </c>
      <c r="AC999" s="1696">
        <f t="shared" ref="AC999:AC1016" si="595">((N999/Y999)-1)*100%</f>
        <v>-8.496732026143794E-2</v>
      </c>
      <c r="AD999" s="1669">
        <f t="shared" ref="AD999:AD1016" si="596">((N999*0.96-W999)/(N999*0.96))*100%</f>
        <v>-7.8499999999999872E-3</v>
      </c>
      <c r="AE999" s="261">
        <f t="shared" ref="AE999:AE1016" si="597">N999/$R$33</f>
        <v>0.1488316713796696</v>
      </c>
      <c r="AF999" s="1359">
        <f>(V999/(1-$AB$997))</f>
        <v>0.15999999999999998</v>
      </c>
      <c r="AG999" s="1896">
        <v>0.3</v>
      </c>
      <c r="AH999" s="1361">
        <f t="shared" ref="AH999:AH1016" si="598">((AF999-V999)/AF999)*100%</f>
        <v>9.9999999999999936E-2</v>
      </c>
      <c r="AI999" s="1366"/>
      <c r="AJ999" s="1367"/>
      <c r="AK999" s="1368"/>
      <c r="AL999" s="1369"/>
      <c r="AM999" s="1369"/>
      <c r="AN999" s="1369"/>
      <c r="AO999" s="13"/>
      <c r="AP999" s="13"/>
    </row>
    <row r="1000" spans="1:42" ht="15.75">
      <c r="A1000" s="187"/>
      <c r="B1000" s="1697" t="s">
        <v>888</v>
      </c>
      <c r="C1000" s="1109" t="s">
        <v>891</v>
      </c>
      <c r="D1000" s="1109">
        <v>25</v>
      </c>
      <c r="E1000" s="1109">
        <v>20</v>
      </c>
      <c r="F1000" s="1109">
        <v>800</v>
      </c>
      <c r="G1000" s="1355"/>
      <c r="H1000" s="192">
        <v>29</v>
      </c>
      <c r="I1000" s="504">
        <f>H1000-H1000*$J$833</f>
        <v>14.790000000000001</v>
      </c>
      <c r="J1000" s="1698"/>
      <c r="K1000" s="912">
        <v>30</v>
      </c>
      <c r="L1000" s="322">
        <v>26</v>
      </c>
      <c r="M1000" s="385">
        <f>L1000/D1000*100%</f>
        <v>1.04</v>
      </c>
      <c r="N1000" s="382">
        <f>K1000-(K1000*$O$33)</f>
        <v>15</v>
      </c>
      <c r="O1000" s="918"/>
      <c r="P1000" s="472">
        <f t="shared" si="586"/>
        <v>1.4198782961460488E-2</v>
      </c>
      <c r="Q1000" s="1699">
        <v>0.31680000000000003</v>
      </c>
      <c r="R1000" s="258">
        <f t="shared" si="587"/>
        <v>14.900054400000002</v>
      </c>
      <c r="S1000" s="1700"/>
      <c r="T1000" s="1227">
        <f t="shared" si="588"/>
        <v>-7.441135902636984E-3</v>
      </c>
      <c r="U1000" s="1358" t="s">
        <v>1428</v>
      </c>
      <c r="V1000" s="1359">
        <f t="shared" si="589"/>
        <v>0.31680000000000003</v>
      </c>
      <c r="W1000" s="1359">
        <f t="shared" si="590"/>
        <v>14.900054400000002</v>
      </c>
      <c r="X1000" s="1360">
        <f>(ROUND(W1000/(1-$AD$997),0))</f>
        <v>16</v>
      </c>
      <c r="Y1000" s="1359">
        <f t="shared" si="591"/>
        <v>15.3</v>
      </c>
      <c r="Z1000" s="1360">
        <f t="shared" si="592"/>
        <v>30</v>
      </c>
      <c r="AA1000" s="1361">
        <f t="shared" si="593"/>
        <v>6.874659999999988E-2</v>
      </c>
      <c r="AB1000" s="1361">
        <f t="shared" si="594"/>
        <v>2.6140235294117568E-2</v>
      </c>
      <c r="AC1000" s="1362">
        <f t="shared" si="595"/>
        <v>-1.9607843137254943E-2</v>
      </c>
      <c r="AD1000" s="1669">
        <f t="shared" si="596"/>
        <v>-3.4726000000000236E-2</v>
      </c>
      <c r="AE1000" s="261">
        <f t="shared" si="597"/>
        <v>0.31892501009929197</v>
      </c>
      <c r="AF1000" s="1359">
        <f>(V1000/(1-$AD$997))</f>
        <v>0.34434782608695652</v>
      </c>
      <c r="AG1000" s="1896">
        <f>AF1000/(1-$X$828)</f>
        <v>0.64971287940935185</v>
      </c>
      <c r="AH1000" s="1361">
        <f t="shared" si="598"/>
        <v>7.9999999999999918E-2</v>
      </c>
      <c r="AI1000" s="1366"/>
      <c r="AJ1000" s="1367"/>
      <c r="AK1000" s="1368"/>
      <c r="AL1000" s="1369"/>
      <c r="AM1000" s="1369"/>
      <c r="AN1000" s="1369"/>
      <c r="AO1000" s="13"/>
      <c r="AP1000" s="13"/>
    </row>
    <row r="1001" spans="1:42" ht="15.75">
      <c r="A1001" s="187"/>
      <c r="B1001" s="1697" t="s">
        <v>889</v>
      </c>
      <c r="C1001" s="1109" t="s">
        <v>892</v>
      </c>
      <c r="D1001" s="1109">
        <v>18</v>
      </c>
      <c r="E1001" s="1109">
        <v>40</v>
      </c>
      <c r="F1001" s="1109">
        <v>1000</v>
      </c>
      <c r="G1001" s="1355"/>
      <c r="H1001" s="192">
        <v>20</v>
      </c>
      <c r="I1001" s="504">
        <f>H1001-H1001*$J$833</f>
        <v>10.199999999999999</v>
      </c>
      <c r="J1001" s="1698"/>
      <c r="K1001" s="912">
        <v>22</v>
      </c>
      <c r="L1001" s="322">
        <v>16</v>
      </c>
      <c r="M1001" s="385">
        <f>L1001/D1001*100%</f>
        <v>0.88888888888888884</v>
      </c>
      <c r="N1001" s="382">
        <f>K1001-(K1001*$O$33)</f>
        <v>11</v>
      </c>
      <c r="O1001" s="918"/>
      <c r="P1001" s="472">
        <f t="shared" si="586"/>
        <v>7.8431372549019773E-2</v>
      </c>
      <c r="Q1001" s="1699">
        <v>0.2316</v>
      </c>
      <c r="R1001" s="258">
        <f t="shared" si="587"/>
        <v>10.8928428</v>
      </c>
      <c r="S1001" s="1700"/>
      <c r="T1001" s="1227">
        <f t="shared" si="588"/>
        <v>-6.7925764705882463E-2</v>
      </c>
      <c r="U1001" s="1358" t="s">
        <v>1429</v>
      </c>
      <c r="V1001" s="1359">
        <f t="shared" si="589"/>
        <v>0.2316</v>
      </c>
      <c r="W1001" s="1359">
        <f t="shared" si="590"/>
        <v>10.8928428</v>
      </c>
      <c r="X1001" s="1360">
        <f>(ROUND(W1001/(1-$AD$997),0))</f>
        <v>12</v>
      </c>
      <c r="Y1001" s="1359">
        <f t="shared" si="591"/>
        <v>11.73</v>
      </c>
      <c r="Z1001" s="1360">
        <f t="shared" si="592"/>
        <v>23</v>
      </c>
      <c r="AA1001" s="1361">
        <f t="shared" si="593"/>
        <v>9.2263099999999973E-2</v>
      </c>
      <c r="AB1001" s="1361">
        <f t="shared" si="594"/>
        <v>7.1368900255754472E-2</v>
      </c>
      <c r="AC1001" s="1362">
        <f t="shared" si="595"/>
        <v>-6.2233589087809071E-2</v>
      </c>
      <c r="AD1001" s="1669">
        <f t="shared" si="596"/>
        <v>-3.1519204545454704E-2</v>
      </c>
      <c r="AE1001" s="261">
        <f t="shared" si="597"/>
        <v>0.23387834073948077</v>
      </c>
      <c r="AF1001" s="1359">
        <f>(V1001/(1-$AD$997))</f>
        <v>0.25173913043478258</v>
      </c>
      <c r="AG1001" s="1896">
        <v>0.48</v>
      </c>
      <c r="AH1001" s="1361">
        <f t="shared" si="598"/>
        <v>7.9999999999999877E-2</v>
      </c>
      <c r="AI1001" s="1366"/>
      <c r="AJ1001" s="1367"/>
      <c r="AK1001" s="1368"/>
      <c r="AL1001" s="1369"/>
      <c r="AM1001" s="1369"/>
      <c r="AN1001" s="1369"/>
      <c r="AO1001" s="13"/>
      <c r="AP1001" s="13"/>
    </row>
    <row r="1002" spans="1:42" ht="15.75">
      <c r="A1002" s="187"/>
      <c r="B1002" s="1391" t="s">
        <v>261</v>
      </c>
      <c r="C1002" s="377" t="s">
        <v>211</v>
      </c>
      <c r="D1002" s="377">
        <v>27</v>
      </c>
      <c r="E1002" s="377">
        <v>20</v>
      </c>
      <c r="F1002" s="377">
        <v>600</v>
      </c>
      <c r="G1002" s="689">
        <v>27.446942183105183</v>
      </c>
      <c r="H1002" s="504">
        <f>G1002*(1+$H$33)</f>
        <v>29.368228135922546</v>
      </c>
      <c r="I1002" s="504">
        <f>H1002-H1002*$J$833</f>
        <v>14.977796349320499</v>
      </c>
      <c r="J1002" s="1272">
        <f>G1002-G1002*$J$833</f>
        <v>13.997940513383643</v>
      </c>
      <c r="K1002" s="912">
        <v>39</v>
      </c>
      <c r="L1002" s="322">
        <v>28</v>
      </c>
      <c r="M1002" s="385">
        <f t="shared" ref="M1002:M1016" si="599">L1002/D1002*100%</f>
        <v>1.037037037037037</v>
      </c>
      <c r="N1002" s="382">
        <f t="shared" ref="N1002:N1016" si="600">K1002-(K1002*$O$33)</f>
        <v>19.5</v>
      </c>
      <c r="O1002" s="469">
        <f>((N1002/J1002)-1)*100%</f>
        <v>0.39306207090648471</v>
      </c>
      <c r="P1002" s="472">
        <f t="shared" si="586"/>
        <v>0.30192716907148087</v>
      </c>
      <c r="Q1002" s="697">
        <v>0.32999999999999996</v>
      </c>
      <c r="R1002" s="258">
        <f t="shared" si="587"/>
        <v>15.520889999999998</v>
      </c>
      <c r="S1002" s="259">
        <f>((J1002-R1002)/J1002)*100%</f>
        <v>-0.10879811106214088</v>
      </c>
      <c r="T1002" s="1227">
        <f t="shared" si="588"/>
        <v>-3.6259916880505401E-2</v>
      </c>
      <c r="U1002" s="261">
        <v>0.27481500000000003</v>
      </c>
      <c r="V1002" s="262">
        <f t="shared" si="589"/>
        <v>0.32977800000000002</v>
      </c>
      <c r="W1002" s="262">
        <f t="shared" si="590"/>
        <v>15.510448674000001</v>
      </c>
      <c r="X1002" s="263">
        <f>(ROUND(W1002/(1-$AA$997),0))</f>
        <v>19</v>
      </c>
      <c r="Y1002" s="262">
        <f t="shared" si="591"/>
        <v>18.36</v>
      </c>
      <c r="Z1002" s="263">
        <f t="shared" si="592"/>
        <v>36</v>
      </c>
      <c r="AA1002" s="264">
        <f t="shared" si="593"/>
        <v>0.18366059610526311</v>
      </c>
      <c r="AB1002" s="264">
        <f t="shared" si="594"/>
        <v>0.15520432058823522</v>
      </c>
      <c r="AC1002" s="1675">
        <f t="shared" si="595"/>
        <v>6.2091503267973858E-2</v>
      </c>
      <c r="AD1002" s="266">
        <f t="shared" si="596"/>
        <v>0.17145039134615375</v>
      </c>
      <c r="AE1002" s="261">
        <f t="shared" si="597"/>
        <v>0.41460251312907959</v>
      </c>
      <c r="AF1002" s="262">
        <f>(V1002/(1-$AA$997))</f>
        <v>0.40713333333333335</v>
      </c>
      <c r="AG1002" s="1869">
        <v>0.77</v>
      </c>
      <c r="AH1002" s="264">
        <f t="shared" si="598"/>
        <v>0.19</v>
      </c>
      <c r="AI1002" s="1374">
        <f>AJ1002/$AJ$1017</f>
        <v>0.57015791856408615</v>
      </c>
      <c r="AJ1002" s="333">
        <f>[1]Статистика!D280</f>
        <v>21410</v>
      </c>
      <c r="AK1002" s="270">
        <f>Q1002*S1002*AJ1002</f>
        <v>-768.69129408734375</v>
      </c>
      <c r="AL1002" s="506">
        <f>AK1002/$AK$1017</f>
        <v>-1.8300085038368739</v>
      </c>
      <c r="AM1002" s="77">
        <f>AJ1002/$AJ$1101</f>
        <v>2.8770887785474802E-2</v>
      </c>
      <c r="AN1002" s="77">
        <f>AK1002/$AK$1101</f>
        <v>1.0081682206007176E-2</v>
      </c>
      <c r="AO1002" s="13"/>
      <c r="AP1002" s="13"/>
    </row>
    <row r="1003" spans="1:42" ht="15.75">
      <c r="A1003" s="271"/>
      <c r="B1003" s="356" t="s">
        <v>262</v>
      </c>
      <c r="C1003" s="251" t="s">
        <v>213</v>
      </c>
      <c r="D1003" s="251">
        <v>68</v>
      </c>
      <c r="E1003" s="251">
        <v>10</v>
      </c>
      <c r="F1003" s="251">
        <v>200</v>
      </c>
      <c r="G1003" s="328">
        <v>69.097197104320756</v>
      </c>
      <c r="H1003" s="357">
        <f>G1003*(1+$H$33)</f>
        <v>73.934000901623207</v>
      </c>
      <c r="I1003" s="357">
        <f>H1003-H1003*$J$833</f>
        <v>37.706340459827835</v>
      </c>
      <c r="J1003" s="883">
        <f>G1003-G1003*$J$833</f>
        <v>35.239570523203589</v>
      </c>
      <c r="K1003" s="912">
        <v>95</v>
      </c>
      <c r="L1003" s="322">
        <v>86</v>
      </c>
      <c r="M1003" s="385">
        <f t="shared" si="599"/>
        <v>1.2647058823529411</v>
      </c>
      <c r="N1003" s="382">
        <f t="shared" si="600"/>
        <v>47.5</v>
      </c>
      <c r="O1003" s="469">
        <f>((N1003/J1003)-1)*100%</f>
        <v>0.34791654083081114</v>
      </c>
      <c r="P1003" s="472">
        <f t="shared" si="586"/>
        <v>0.25973508488860864</v>
      </c>
      <c r="Q1003" s="702">
        <v>0.43521367521367521</v>
      </c>
      <c r="R1003" s="258">
        <f t="shared" si="587"/>
        <v>20.469404786324787</v>
      </c>
      <c r="S1003" s="259">
        <f>((J1003-R1003)/J1003)*100%</f>
        <v>0.41913580436950409</v>
      </c>
      <c r="T1003" s="1701">
        <f t="shared" si="588"/>
        <v>0.45713626576589156</v>
      </c>
      <c r="U1003" s="261">
        <v>0.62744500000000003</v>
      </c>
      <c r="V1003" s="262">
        <f t="shared" si="589"/>
        <v>0.75293399999999999</v>
      </c>
      <c r="W1003" s="262">
        <f t="shared" si="590"/>
        <v>35.412744822000001</v>
      </c>
      <c r="X1003" s="263">
        <f>(ROUND(W1003/(1-$AA$997),0))</f>
        <v>44</v>
      </c>
      <c r="Y1003" s="262">
        <f t="shared" si="591"/>
        <v>42.33</v>
      </c>
      <c r="Z1003" s="263">
        <f t="shared" si="592"/>
        <v>83</v>
      </c>
      <c r="AA1003" s="264">
        <f t="shared" si="593"/>
        <v>0.19516489040909091</v>
      </c>
      <c r="AB1003" s="264">
        <f t="shared" si="594"/>
        <v>0.16341259574769662</v>
      </c>
      <c r="AC1003" s="1675">
        <f t="shared" si="595"/>
        <v>0.12213560122844314</v>
      </c>
      <c r="AD1003" s="266">
        <f t="shared" si="596"/>
        <v>0.22340471881578949</v>
      </c>
      <c r="AE1003" s="261">
        <f t="shared" si="597"/>
        <v>1.0099291986477579</v>
      </c>
      <c r="AF1003" s="262">
        <f>(V1003/(1-$AA$997))</f>
        <v>0.92954814814814812</v>
      </c>
      <c r="AG1003" s="1869">
        <v>1.75</v>
      </c>
      <c r="AH1003" s="264">
        <f t="shared" si="598"/>
        <v>0.18999999999999997</v>
      </c>
      <c r="AI1003" s="1372">
        <f>AJ1003/$AJ$1017</f>
        <v>0.16660009054352748</v>
      </c>
      <c r="AJ1003" s="338">
        <f>[1]Статистика!D281</f>
        <v>6256</v>
      </c>
      <c r="AK1003" s="297">
        <f>Q1003*S1003*AJ1003</f>
        <v>1141.1796932610739</v>
      </c>
      <c r="AL1003" s="866">
        <f>AK1003/$AK$1017</f>
        <v>2.716784434970362</v>
      </c>
      <c r="AM1003" s="92">
        <f>AJ1003/$AJ$1101</f>
        <v>8.4068507233036136E-3</v>
      </c>
      <c r="AN1003" s="92">
        <f>AK1003/$AK$1101</f>
        <v>-1.4967010939113904E-2</v>
      </c>
      <c r="AO1003" s="13"/>
      <c r="AP1003" s="13"/>
    </row>
    <row r="1004" spans="1:42" ht="15.75">
      <c r="A1004" s="187"/>
      <c r="B1004" s="356" t="s">
        <v>263</v>
      </c>
      <c r="C1004" s="251" t="s">
        <v>215</v>
      </c>
      <c r="D1004" s="251">
        <v>69</v>
      </c>
      <c r="E1004" s="251">
        <v>10</v>
      </c>
      <c r="F1004" s="251">
        <v>200</v>
      </c>
      <c r="G1004" s="328">
        <v>70.056880397436331</v>
      </c>
      <c r="H1004" s="357">
        <f>G1004*(1+$H$33)</f>
        <v>74.960862025256873</v>
      </c>
      <c r="I1004" s="357">
        <f t="shared" ref="I1004:I1016" si="601">H1004-H1004*$J$833</f>
        <v>38.230039632881002</v>
      </c>
      <c r="J1004" s="883">
        <f>G1004-G1004*$J$833</f>
        <v>35.729009002692528</v>
      </c>
      <c r="K1004" s="912">
        <v>62</v>
      </c>
      <c r="L1004" s="322">
        <v>52</v>
      </c>
      <c r="M1004" s="385">
        <f t="shared" si="599"/>
        <v>0.75362318840579712</v>
      </c>
      <c r="N1004" s="382">
        <f t="shared" si="600"/>
        <v>31</v>
      </c>
      <c r="O1004" s="918">
        <f>((N1004/J1004)-1)*100%</f>
        <v>-0.13235768734408926</v>
      </c>
      <c r="P1004" s="964">
        <f t="shared" si="586"/>
        <v>-0.18911933396643854</v>
      </c>
      <c r="Q1004" s="703">
        <v>0.75</v>
      </c>
      <c r="R1004" s="258">
        <f t="shared" si="587"/>
        <v>35.274749999999997</v>
      </c>
      <c r="S1004" s="259">
        <f>((J1004-R1004)/J1004)*100%</f>
        <v>1.2714010698094039E-2</v>
      </c>
      <c r="T1004" s="1701">
        <f t="shared" si="588"/>
        <v>7.7302813736536413E-2</v>
      </c>
      <c r="U1004" s="261">
        <v>0.61463999999999996</v>
      </c>
      <c r="V1004" s="262">
        <f t="shared" si="589"/>
        <v>0.73756799999999989</v>
      </c>
      <c r="W1004" s="262">
        <f t="shared" si="590"/>
        <v>34.690035743999992</v>
      </c>
      <c r="X1004" s="263">
        <f>(ROUND(W1004/(1-$AB$997),0))</f>
        <v>39</v>
      </c>
      <c r="Y1004" s="262">
        <f t="shared" si="591"/>
        <v>37.74</v>
      </c>
      <c r="Z1004" s="263">
        <f t="shared" si="592"/>
        <v>74</v>
      </c>
      <c r="AA1004" s="264">
        <f t="shared" si="593"/>
        <v>0.1105119040000002</v>
      </c>
      <c r="AB1004" s="264">
        <f t="shared" si="594"/>
        <v>8.0815163116057492E-2</v>
      </c>
      <c r="AC1004" s="1590">
        <f t="shared" si="595"/>
        <v>-0.17859035506094334</v>
      </c>
      <c r="AD1004" s="266">
        <f t="shared" si="596"/>
        <v>-0.16565980322580626</v>
      </c>
      <c r="AE1004" s="261">
        <f t="shared" si="597"/>
        <v>0.65911168753853677</v>
      </c>
      <c r="AF1004" s="262">
        <f>(V1004/(1-$AB$997))</f>
        <v>0.8195199999999998</v>
      </c>
      <c r="AG1004" s="1869">
        <v>1.55</v>
      </c>
      <c r="AH1004" s="264">
        <f t="shared" si="598"/>
        <v>9.9999999999999922E-2</v>
      </c>
      <c r="AI1004" s="1374">
        <f>AJ1004/$AJ$1017</f>
        <v>0.19333706159622913</v>
      </c>
      <c r="AJ1004" s="333">
        <f>[1]Статистика!D282</f>
        <v>7260</v>
      </c>
      <c r="AK1004" s="270">
        <f>Q1004*S1004*AJ1004</f>
        <v>69.227788251122035</v>
      </c>
      <c r="AL1004" s="506">
        <f>AK1004/$AK$1017</f>
        <v>0.16480925720875497</v>
      </c>
      <c r="AM1004" s="77">
        <f>AJ1004/$AJ$1101</f>
        <v>9.7560320094603938E-3</v>
      </c>
      <c r="AN1004" s="77">
        <f>AK1004/$AK$1101</f>
        <v>-9.0794909001957037E-4</v>
      </c>
      <c r="AO1004" s="13"/>
      <c r="AP1004" s="13"/>
    </row>
    <row r="1005" spans="1:42" ht="15.75">
      <c r="A1005" s="187"/>
      <c r="B1005" s="356" t="s">
        <v>264</v>
      </c>
      <c r="C1005" s="251" t="s">
        <v>219</v>
      </c>
      <c r="D1005" s="251">
        <v>97</v>
      </c>
      <c r="E1005" s="251">
        <v>10</v>
      </c>
      <c r="F1005" s="251">
        <v>150</v>
      </c>
      <c r="G1005" s="328">
        <v>98.847379190903311</v>
      </c>
      <c r="H1005" s="357">
        <f>G1005*(1+$H$33)</f>
        <v>105.76669573426655</v>
      </c>
      <c r="I1005" s="357">
        <f t="shared" si="601"/>
        <v>53.941014824475943</v>
      </c>
      <c r="J1005" s="883">
        <f>G1005-G1005*$J$833</f>
        <v>50.412163387360692</v>
      </c>
      <c r="K1005" s="912">
        <v>112</v>
      </c>
      <c r="L1005" s="322">
        <v>104</v>
      </c>
      <c r="M1005" s="385">
        <f t="shared" si="599"/>
        <v>1.0721649484536082</v>
      </c>
      <c r="N1005" s="382">
        <f t="shared" si="600"/>
        <v>56</v>
      </c>
      <c r="O1005" s="918">
        <f>((N1005/J1005)-1)*100%</f>
        <v>0.11084302353190201</v>
      </c>
      <c r="P1005" s="1702">
        <f t="shared" si="586"/>
        <v>3.8171050029814912E-2</v>
      </c>
      <c r="Q1005" s="331">
        <v>1.0800386100386099</v>
      </c>
      <c r="R1005" s="382">
        <f t="shared" si="587"/>
        <v>50.797455945945941</v>
      </c>
      <c r="S1005" s="918">
        <f>((J1005-R1005)/J1005)*100%</f>
        <v>-7.6428491200567919E-3</v>
      </c>
      <c r="T1005" s="696">
        <f t="shared" si="588"/>
        <v>5.8277711102750693E-2</v>
      </c>
      <c r="U1005" s="261">
        <v>0.87566500000000003</v>
      </c>
      <c r="V1005" s="262">
        <f t="shared" si="589"/>
        <v>1.0507979999999999</v>
      </c>
      <c r="W1005" s="262">
        <f t="shared" si="590"/>
        <v>49.422182333999999</v>
      </c>
      <c r="X1005" s="263">
        <f>(ROUND(W1005/(1-$AC$997),0))</f>
        <v>57</v>
      </c>
      <c r="Y1005" s="262">
        <f t="shared" si="591"/>
        <v>55.08</v>
      </c>
      <c r="Z1005" s="263">
        <f t="shared" si="592"/>
        <v>108</v>
      </c>
      <c r="AA1005" s="264">
        <f t="shared" si="593"/>
        <v>0.13294416957894739</v>
      </c>
      <c r="AB1005" s="264">
        <f t="shared" si="594"/>
        <v>0.10272000119825708</v>
      </c>
      <c r="AC1005" s="1677">
        <f t="shared" si="595"/>
        <v>1.6702977487291326E-2</v>
      </c>
      <c r="AD1005" s="266">
        <f t="shared" si="596"/>
        <v>8.0688572656249999E-2</v>
      </c>
      <c r="AE1005" s="261">
        <f t="shared" si="597"/>
        <v>1.1906533710373568</v>
      </c>
      <c r="AF1005" s="262">
        <f>(V1005/(1-$AC$997))</f>
        <v>1.2218581395348835</v>
      </c>
      <c r="AG1005" s="1869">
        <v>2.31</v>
      </c>
      <c r="AH1005" s="264">
        <f t="shared" si="598"/>
        <v>0.13999999999999996</v>
      </c>
      <c r="AI1005" s="1374">
        <f>AJ1005/$AJ$1017</f>
        <v>6.9904929296157228E-2</v>
      </c>
      <c r="AJ1005" s="333">
        <f>[1]Статистика!D283</f>
        <v>2625</v>
      </c>
      <c r="AK1005" s="270">
        <f>Q1005*S1005*AJ1005</f>
        <v>-21.668251868447495</v>
      </c>
      <c r="AL1005" s="506">
        <f>AK1005/$AK$1017</f>
        <v>-5.1585188342243023E-2</v>
      </c>
      <c r="AM1005" s="77">
        <f>AJ1005/$AJ$1101</f>
        <v>3.5274909125115063E-3</v>
      </c>
      <c r="AN1005" s="77">
        <f>AK1005/$AK$1101</f>
        <v>2.8418746378124955E-4</v>
      </c>
      <c r="AO1005" s="13"/>
      <c r="AP1005" s="13"/>
    </row>
    <row r="1006" spans="1:42" ht="15.75">
      <c r="A1006" s="187"/>
      <c r="B1006" s="1703" t="s">
        <v>893</v>
      </c>
      <c r="C1006" s="1393" t="s">
        <v>698</v>
      </c>
      <c r="D1006" s="804">
        <v>190</v>
      </c>
      <c r="E1006" s="804">
        <v>5</v>
      </c>
      <c r="F1006" s="251">
        <v>120</v>
      </c>
      <c r="G1006" s="328"/>
      <c r="H1006" s="453">
        <v>203</v>
      </c>
      <c r="I1006" s="357">
        <f t="shared" si="601"/>
        <v>103.53</v>
      </c>
      <c r="J1006" s="883"/>
      <c r="K1006" s="912">
        <v>228</v>
      </c>
      <c r="L1006" s="322">
        <v>191</v>
      </c>
      <c r="M1006" s="385">
        <f t="shared" si="599"/>
        <v>1.0052631578947369</v>
      </c>
      <c r="N1006" s="382">
        <f t="shared" si="600"/>
        <v>114</v>
      </c>
      <c r="O1006" s="918"/>
      <c r="P1006" s="1702">
        <f t="shared" si="586"/>
        <v>0.10113010721529991</v>
      </c>
      <c r="Q1006" s="331">
        <v>2.2607999999999997</v>
      </c>
      <c r="R1006" s="382">
        <f t="shared" si="587"/>
        <v>106.33220639999999</v>
      </c>
      <c r="S1006" s="918"/>
      <c r="T1006" s="696">
        <f t="shared" si="588"/>
        <v>-2.70666125760648E-2</v>
      </c>
      <c r="U1006" s="261" t="s">
        <v>1430</v>
      </c>
      <c r="V1006" s="262">
        <f t="shared" si="589"/>
        <v>2.2607999999999997</v>
      </c>
      <c r="W1006" s="262">
        <f t="shared" si="590"/>
        <v>106.33220639999999</v>
      </c>
      <c r="X1006" s="263">
        <f>(ROUND(W1006/(1-$AB$997),0))</f>
        <v>118</v>
      </c>
      <c r="Y1006" s="262">
        <f t="shared" si="591"/>
        <v>113.73</v>
      </c>
      <c r="Z1006" s="263">
        <f t="shared" si="592"/>
        <v>223</v>
      </c>
      <c r="AA1006" s="264">
        <f t="shared" si="593"/>
        <v>9.8879606779661108E-2</v>
      </c>
      <c r="AB1006" s="264">
        <f t="shared" si="594"/>
        <v>6.5046984964389459E-2</v>
      </c>
      <c r="AC1006" s="1675">
        <f t="shared" si="595"/>
        <v>2.3740437879187226E-3</v>
      </c>
      <c r="AD1006" s="266">
        <f t="shared" si="596"/>
        <v>2.8397236842105336E-2</v>
      </c>
      <c r="AE1006" s="261">
        <f t="shared" si="597"/>
        <v>2.4238300767546188</v>
      </c>
      <c r="AF1006" s="262">
        <f>(V1006/(1-$AB$997))</f>
        <v>2.5119999999999996</v>
      </c>
      <c r="AG1006" s="1869">
        <f>AF1006/(1-$X$828)</f>
        <v>4.7396226415094329</v>
      </c>
      <c r="AH1006" s="264">
        <f t="shared" si="598"/>
        <v>9.9999999999999964E-2</v>
      </c>
      <c r="AI1006" s="459"/>
      <c r="AJ1006" s="460"/>
      <c r="AK1006" s="461"/>
      <c r="AL1006" s="1249"/>
      <c r="AM1006" s="459"/>
      <c r="AN1006" s="459"/>
      <c r="AO1006" s="13"/>
      <c r="AP1006" s="13"/>
    </row>
    <row r="1007" spans="1:42" ht="15.75">
      <c r="A1007" s="187"/>
      <c r="B1007" s="1703" t="s">
        <v>894</v>
      </c>
      <c r="C1007" s="1393" t="s">
        <v>217</v>
      </c>
      <c r="D1007" s="804">
        <v>154</v>
      </c>
      <c r="E1007" s="804">
        <v>5</v>
      </c>
      <c r="F1007" s="251">
        <v>120</v>
      </c>
      <c r="G1007" s="328"/>
      <c r="H1007" s="453">
        <v>161</v>
      </c>
      <c r="I1007" s="357">
        <f t="shared" si="601"/>
        <v>82.11</v>
      </c>
      <c r="J1007" s="883"/>
      <c r="K1007" s="912">
        <v>179</v>
      </c>
      <c r="L1007" s="322">
        <v>154</v>
      </c>
      <c r="M1007" s="385">
        <f t="shared" si="599"/>
        <v>1</v>
      </c>
      <c r="N1007" s="382">
        <f t="shared" si="600"/>
        <v>89.5</v>
      </c>
      <c r="O1007" s="918"/>
      <c r="P1007" s="1702">
        <f t="shared" si="586"/>
        <v>9.0001217878455719E-2</v>
      </c>
      <c r="Q1007" s="331">
        <v>1.58388</v>
      </c>
      <c r="R1007" s="382">
        <f t="shared" si="587"/>
        <v>74.494628039999995</v>
      </c>
      <c r="S1007" s="918"/>
      <c r="T1007" s="696">
        <f t="shared" si="588"/>
        <v>9.2745974424552485E-2</v>
      </c>
      <c r="U1007" s="261">
        <v>1.3199000000000001</v>
      </c>
      <c r="V1007" s="262">
        <f t="shared" si="589"/>
        <v>1.58388</v>
      </c>
      <c r="W1007" s="262">
        <f t="shared" si="590"/>
        <v>74.494628039999995</v>
      </c>
      <c r="X1007" s="263">
        <f>(ROUND(W1007/(1-$AA$997),0))</f>
        <v>92</v>
      </c>
      <c r="Y1007" s="262">
        <f t="shared" si="591"/>
        <v>88.74</v>
      </c>
      <c r="Z1007" s="263">
        <f t="shared" si="592"/>
        <v>174</v>
      </c>
      <c r="AA1007" s="264">
        <f t="shared" si="593"/>
        <v>0.19027578217391311</v>
      </c>
      <c r="AB1007" s="264">
        <f t="shared" si="594"/>
        <v>0.16052932116294794</v>
      </c>
      <c r="AC1007" s="1677">
        <f t="shared" si="595"/>
        <v>8.5643452783412677E-3</v>
      </c>
      <c r="AD1007" s="266">
        <f t="shared" si="596"/>
        <v>0.13297686173184364</v>
      </c>
      <c r="AE1007" s="261">
        <f t="shared" si="597"/>
        <v>1.9029192269257755</v>
      </c>
      <c r="AF1007" s="262">
        <f>(V1007/(1-$AA$997))</f>
        <v>1.9554074074074073</v>
      </c>
      <c r="AG1007" s="1869">
        <v>3.69</v>
      </c>
      <c r="AH1007" s="264">
        <f t="shared" si="598"/>
        <v>0.18999999999999997</v>
      </c>
      <c r="AI1007" s="459"/>
      <c r="AJ1007" s="460"/>
      <c r="AK1007" s="461"/>
      <c r="AL1007" s="1249"/>
      <c r="AM1007" s="459"/>
      <c r="AN1007" s="459"/>
      <c r="AO1007" s="13"/>
      <c r="AP1007" s="13"/>
    </row>
    <row r="1008" spans="1:42" ht="15.75">
      <c r="A1008" s="187"/>
      <c r="B1008" s="1703" t="s">
        <v>895</v>
      </c>
      <c r="C1008" s="1393" t="s">
        <v>881</v>
      </c>
      <c r="D1008" s="804">
        <v>300</v>
      </c>
      <c r="E1008" s="804">
        <v>4</v>
      </c>
      <c r="F1008" s="251">
        <v>60</v>
      </c>
      <c r="G1008" s="328"/>
      <c r="H1008" s="453">
        <v>321</v>
      </c>
      <c r="I1008" s="357">
        <f t="shared" si="601"/>
        <v>163.71</v>
      </c>
      <c r="J1008" s="883"/>
      <c r="K1008" s="912">
        <v>348</v>
      </c>
      <c r="L1008" s="322">
        <v>294</v>
      </c>
      <c r="M1008" s="385">
        <f t="shared" si="599"/>
        <v>0.98</v>
      </c>
      <c r="N1008" s="382">
        <f t="shared" si="600"/>
        <v>174</v>
      </c>
      <c r="O1008" s="918"/>
      <c r="P1008" s="1702">
        <f t="shared" si="586"/>
        <v>6.285504856148072E-2</v>
      </c>
      <c r="Q1008" s="331">
        <v>3.57</v>
      </c>
      <c r="R1008" s="382">
        <f t="shared" si="587"/>
        <v>167.90780999999998</v>
      </c>
      <c r="S1008" s="918"/>
      <c r="T1008" s="696">
        <f t="shared" si="588"/>
        <v>-2.5641744548286455E-2</v>
      </c>
      <c r="U1008" s="261" t="s">
        <v>1431</v>
      </c>
      <c r="V1008" s="262">
        <f t="shared" si="589"/>
        <v>3.57</v>
      </c>
      <c r="W1008" s="262">
        <f t="shared" si="590"/>
        <v>167.90780999999998</v>
      </c>
      <c r="X1008" s="263">
        <f>(ROUND(W1008/(1-$AD$997),0))</f>
        <v>183</v>
      </c>
      <c r="Y1008" s="262">
        <f t="shared" si="591"/>
        <v>175.95000000000002</v>
      </c>
      <c r="Z1008" s="263">
        <f t="shared" si="592"/>
        <v>345</v>
      </c>
      <c r="AA1008" s="264">
        <f t="shared" si="593"/>
        <v>8.2470983606557469E-2</v>
      </c>
      <c r="AB1008" s="264">
        <f t="shared" si="594"/>
        <v>4.5707246376811783E-2</v>
      </c>
      <c r="AC1008" s="1675">
        <f t="shared" si="595"/>
        <v>-1.1082693947144118E-2</v>
      </c>
      <c r="AD1008" s="266">
        <f t="shared" si="596"/>
        <v>-5.1952227011493749E-3</v>
      </c>
      <c r="AE1008" s="261">
        <f t="shared" si="597"/>
        <v>3.6995301171517871</v>
      </c>
      <c r="AF1008" s="262">
        <f>(V1008/(1-$AD$997))</f>
        <v>3.8804347826086953</v>
      </c>
      <c r="AG1008" s="1869">
        <v>7.32</v>
      </c>
      <c r="AH1008" s="264">
        <f t="shared" si="598"/>
        <v>7.9999999999999974E-2</v>
      </c>
      <c r="AI1008" s="459"/>
      <c r="AJ1008" s="460"/>
      <c r="AK1008" s="461"/>
      <c r="AL1008" s="1249"/>
      <c r="AM1008" s="459"/>
      <c r="AN1008" s="459"/>
      <c r="AO1008" s="13"/>
      <c r="AP1008" s="13"/>
    </row>
    <row r="1009" spans="1:42" ht="15.75">
      <c r="A1009" s="187"/>
      <c r="B1009" s="1703" t="s">
        <v>896</v>
      </c>
      <c r="C1009" s="1393" t="s">
        <v>882</v>
      </c>
      <c r="D1009" s="804">
        <v>260</v>
      </c>
      <c r="E1009" s="804">
        <v>4</v>
      </c>
      <c r="F1009" s="251">
        <v>80</v>
      </c>
      <c r="G1009" s="328"/>
      <c r="H1009" s="453">
        <v>305</v>
      </c>
      <c r="I1009" s="357">
        <f t="shared" si="601"/>
        <v>155.55000000000001</v>
      </c>
      <c r="J1009" s="883"/>
      <c r="K1009" s="912">
        <v>322</v>
      </c>
      <c r="L1009" s="322">
        <v>259</v>
      </c>
      <c r="M1009" s="385">
        <f t="shared" si="599"/>
        <v>0.99615384615384617</v>
      </c>
      <c r="N1009" s="382">
        <f t="shared" si="600"/>
        <v>161</v>
      </c>
      <c r="O1009" s="918"/>
      <c r="P1009" s="1702">
        <f t="shared" si="586"/>
        <v>3.5036965605914405E-2</v>
      </c>
      <c r="Q1009" s="331">
        <v>3.015282</v>
      </c>
      <c r="R1009" s="382">
        <f t="shared" si="587"/>
        <v>141.817758306</v>
      </c>
      <c r="S1009" s="918"/>
      <c r="T1009" s="696">
        <f t="shared" si="588"/>
        <v>8.8281849527483178E-2</v>
      </c>
      <c r="U1009" s="261">
        <v>2.5127350000000002</v>
      </c>
      <c r="V1009" s="262">
        <f t="shared" si="589"/>
        <v>3.015282</v>
      </c>
      <c r="W1009" s="262">
        <f t="shared" si="590"/>
        <v>141.817758306</v>
      </c>
      <c r="X1009" s="263">
        <f>(ROUND(W1009/(1-$AC$997),0))</f>
        <v>165</v>
      </c>
      <c r="Y1009" s="262">
        <f t="shared" si="591"/>
        <v>158.61000000000001</v>
      </c>
      <c r="Z1009" s="263">
        <f t="shared" si="592"/>
        <v>311</v>
      </c>
      <c r="AA1009" s="264">
        <f t="shared" si="593"/>
        <v>0.14049843450909089</v>
      </c>
      <c r="AB1009" s="264">
        <f t="shared" si="594"/>
        <v>0.10587126722148674</v>
      </c>
      <c r="AC1009" s="1675">
        <f t="shared" si="595"/>
        <v>1.5068406783935284E-2</v>
      </c>
      <c r="AD1009" s="266">
        <f t="shared" si="596"/>
        <v>8.2442039945652176E-2</v>
      </c>
      <c r="AE1009" s="261">
        <f t="shared" si="597"/>
        <v>3.4231284417324006</v>
      </c>
      <c r="AF1009" s="262">
        <f>(V1009/(1-$AC$997))</f>
        <v>3.5061418604651164</v>
      </c>
      <c r="AG1009" s="1869">
        <v>6.62</v>
      </c>
      <c r="AH1009" s="264">
        <f t="shared" si="598"/>
        <v>0.14000000000000004</v>
      </c>
      <c r="AI1009" s="459"/>
      <c r="AJ1009" s="460"/>
      <c r="AK1009" s="461"/>
      <c r="AL1009" s="1249"/>
      <c r="AM1009" s="459"/>
      <c r="AN1009" s="459"/>
      <c r="AO1009" s="13"/>
      <c r="AP1009" s="13"/>
    </row>
    <row r="1010" spans="1:42" ht="15.75">
      <c r="A1010" s="187"/>
      <c r="B1010" s="1703" t="s">
        <v>897</v>
      </c>
      <c r="C1010" s="1393" t="s">
        <v>883</v>
      </c>
      <c r="D1010" s="804">
        <v>200</v>
      </c>
      <c r="E1010" s="804">
        <v>5</v>
      </c>
      <c r="F1010" s="251">
        <v>80</v>
      </c>
      <c r="G1010" s="328"/>
      <c r="H1010" s="453">
        <v>214</v>
      </c>
      <c r="I1010" s="357">
        <f t="shared" si="601"/>
        <v>109.14</v>
      </c>
      <c r="J1010" s="883"/>
      <c r="K1010" s="912">
        <v>238</v>
      </c>
      <c r="L1010" s="322">
        <v>204</v>
      </c>
      <c r="M1010" s="385">
        <f t="shared" si="599"/>
        <v>1.02</v>
      </c>
      <c r="N1010" s="382">
        <f t="shared" si="600"/>
        <v>119</v>
      </c>
      <c r="O1010" s="918"/>
      <c r="P1010" s="1702">
        <f t="shared" si="586"/>
        <v>9.0342679127725756E-2</v>
      </c>
      <c r="Q1010" s="331">
        <v>2.3795999999999999</v>
      </c>
      <c r="R1010" s="382">
        <f t="shared" si="587"/>
        <v>111.91972680000001</v>
      </c>
      <c r="S1010" s="918"/>
      <c r="T1010" s="696">
        <f t="shared" si="588"/>
        <v>-2.546936778449703E-2</v>
      </c>
      <c r="U1010" s="261" t="s">
        <v>1432</v>
      </c>
      <c r="V1010" s="262">
        <f t="shared" si="589"/>
        <v>2.3795999999999999</v>
      </c>
      <c r="W1010" s="262">
        <f t="shared" si="590"/>
        <v>111.91972680000001</v>
      </c>
      <c r="X1010" s="263">
        <f>(ROUND(W1010/(1-$AB$997),0))</f>
        <v>124</v>
      </c>
      <c r="Y1010" s="262">
        <f t="shared" si="591"/>
        <v>119.34</v>
      </c>
      <c r="Z1010" s="263">
        <f t="shared" si="592"/>
        <v>234</v>
      </c>
      <c r="AA1010" s="264">
        <f t="shared" si="593"/>
        <v>9.7421558064516078E-2</v>
      </c>
      <c r="AB1010" s="264">
        <f t="shared" si="594"/>
        <v>6.2177586726998461E-2</v>
      </c>
      <c r="AC1010" s="1675">
        <f t="shared" si="595"/>
        <v>-2.8490028490029129E-3</v>
      </c>
      <c r="AD1010" s="266">
        <f t="shared" si="596"/>
        <v>2.0310514705882254E-2</v>
      </c>
      <c r="AE1010" s="261">
        <f t="shared" si="597"/>
        <v>2.5301384134543832</v>
      </c>
      <c r="AF1010" s="262">
        <f>(V1010/(1-$AB$997))</f>
        <v>2.6439999999999997</v>
      </c>
      <c r="AG1010" s="1869">
        <v>5</v>
      </c>
      <c r="AH1010" s="264">
        <f t="shared" si="598"/>
        <v>9.9999999999999922E-2</v>
      </c>
      <c r="AI1010" s="459"/>
      <c r="AJ1010" s="460"/>
      <c r="AK1010" s="461"/>
      <c r="AL1010" s="1249"/>
      <c r="AM1010" s="459"/>
      <c r="AN1010" s="459"/>
      <c r="AO1010" s="13"/>
      <c r="AP1010" s="13"/>
    </row>
    <row r="1011" spans="1:42" ht="15.75">
      <c r="A1011" s="187"/>
      <c r="B1011" s="1703" t="s">
        <v>898</v>
      </c>
      <c r="C1011" s="1681" t="s">
        <v>260</v>
      </c>
      <c r="D1011" s="804">
        <v>100</v>
      </c>
      <c r="E1011" s="804">
        <v>10</v>
      </c>
      <c r="F1011" s="251">
        <v>150</v>
      </c>
      <c r="G1011" s="328"/>
      <c r="H1011" s="453">
        <v>112</v>
      </c>
      <c r="I1011" s="357">
        <f t="shared" si="601"/>
        <v>57.120000000000005</v>
      </c>
      <c r="J1011" s="883"/>
      <c r="K1011" s="912">
        <v>123</v>
      </c>
      <c r="L1011" s="322">
        <v>100</v>
      </c>
      <c r="M1011" s="385">
        <f t="shared" si="599"/>
        <v>1</v>
      </c>
      <c r="N1011" s="382">
        <f t="shared" si="600"/>
        <v>61.5</v>
      </c>
      <c r="O1011" s="918"/>
      <c r="P1011" s="1702">
        <f t="shared" si="586"/>
        <v>7.6680672268907513E-2</v>
      </c>
      <c r="Q1011" s="331">
        <v>1.1642699999999999</v>
      </c>
      <c r="R1011" s="382">
        <f t="shared" si="587"/>
        <v>54.759110909999997</v>
      </c>
      <c r="S1011" s="918"/>
      <c r="T1011" s="696">
        <f t="shared" si="588"/>
        <v>4.1332091911764839E-2</v>
      </c>
      <c r="U1011" s="261">
        <v>0.970225</v>
      </c>
      <c r="V1011" s="262">
        <f t="shared" si="589"/>
        <v>1.1642699999999999</v>
      </c>
      <c r="W1011" s="262">
        <f t="shared" si="590"/>
        <v>54.759110909999997</v>
      </c>
      <c r="X1011" s="263">
        <f>(ROUND(W1011/(1-$AC$997),0))</f>
        <v>64</v>
      </c>
      <c r="Y1011" s="262">
        <f t="shared" si="591"/>
        <v>61.71</v>
      </c>
      <c r="Z1011" s="263">
        <f t="shared" si="592"/>
        <v>121</v>
      </c>
      <c r="AA1011" s="264">
        <f t="shared" si="593"/>
        <v>0.14438889203125005</v>
      </c>
      <c r="AB1011" s="264">
        <f t="shared" si="594"/>
        <v>0.11263796937287318</v>
      </c>
      <c r="AC1011" s="1675">
        <f t="shared" si="595"/>
        <v>-3.4030140982013179E-3</v>
      </c>
      <c r="AD1011" s="266">
        <f t="shared" si="596"/>
        <v>7.2508284044715487E-2</v>
      </c>
      <c r="AE1011" s="261">
        <f t="shared" si="597"/>
        <v>1.307592541407097</v>
      </c>
      <c r="AF1011" s="262">
        <f>(V1011/(1-$AC$997))</f>
        <v>1.3538023255813953</v>
      </c>
      <c r="AG1011" s="1869">
        <v>2.5499999999999998</v>
      </c>
      <c r="AH1011" s="264">
        <f t="shared" si="598"/>
        <v>0.14000000000000007</v>
      </c>
      <c r="AI1011" s="459"/>
      <c r="AJ1011" s="460"/>
      <c r="AK1011" s="461"/>
      <c r="AL1011" s="1249"/>
      <c r="AM1011" s="459"/>
      <c r="AN1011" s="459"/>
      <c r="AO1011" s="13"/>
      <c r="AP1011" s="13"/>
    </row>
    <row r="1012" spans="1:42" ht="15.75">
      <c r="A1012" s="187"/>
      <c r="B1012" s="1703" t="s">
        <v>900</v>
      </c>
      <c r="C1012" s="1681" t="s">
        <v>886</v>
      </c>
      <c r="D1012" s="804">
        <v>454</v>
      </c>
      <c r="E1012" s="804">
        <v>4</v>
      </c>
      <c r="F1012" s="251">
        <v>40</v>
      </c>
      <c r="G1012" s="328"/>
      <c r="H1012" s="453">
        <v>482</v>
      </c>
      <c r="I1012" s="357">
        <f t="shared" si="601"/>
        <v>245.82</v>
      </c>
      <c r="J1012" s="883"/>
      <c r="K1012" s="912">
        <v>506</v>
      </c>
      <c r="L1012" s="322">
        <v>454</v>
      </c>
      <c r="M1012" s="385">
        <f t="shared" si="599"/>
        <v>1</v>
      </c>
      <c r="N1012" s="382">
        <f t="shared" si="600"/>
        <v>253</v>
      </c>
      <c r="O1012" s="918"/>
      <c r="P1012" s="1702">
        <f t="shared" si="586"/>
        <v>2.9208363843462815E-2</v>
      </c>
      <c r="Q1012" s="331">
        <v>5.2859040000000004</v>
      </c>
      <c r="R1012" s="382">
        <f t="shared" si="587"/>
        <v>248.61192283200003</v>
      </c>
      <c r="S1012" s="918"/>
      <c r="T1012" s="696">
        <f t="shared" si="588"/>
        <v>-1.1357590236758766E-2</v>
      </c>
      <c r="U1012" s="261">
        <v>4.4049200000000006</v>
      </c>
      <c r="V1012" s="262">
        <f t="shared" si="589"/>
        <v>5.2859040000000004</v>
      </c>
      <c r="W1012" s="262">
        <f t="shared" si="590"/>
        <v>248.61192283200003</v>
      </c>
      <c r="X1012" s="263">
        <f>(ROUND(W1012/(1-$AB$997),0))</f>
        <v>276</v>
      </c>
      <c r="Y1012" s="262">
        <f t="shared" si="591"/>
        <v>265.70999999999998</v>
      </c>
      <c r="Z1012" s="263">
        <f t="shared" si="592"/>
        <v>521</v>
      </c>
      <c r="AA1012" s="264">
        <f t="shared" si="593"/>
        <v>9.9232163652173799E-2</v>
      </c>
      <c r="AB1012" s="264">
        <f t="shared" si="594"/>
        <v>6.4348640126453457E-2</v>
      </c>
      <c r="AC1012" s="1590">
        <f t="shared" si="595"/>
        <v>-4.7834104851153469E-2</v>
      </c>
      <c r="AD1012" s="266">
        <f t="shared" si="596"/>
        <v>-2.359981403162071E-2</v>
      </c>
      <c r="AE1012" s="261">
        <f t="shared" si="597"/>
        <v>5.3792018370080577</v>
      </c>
      <c r="AF1012" s="262">
        <f>(V1012/(1-$AB$997))</f>
        <v>5.8732266666666666</v>
      </c>
      <c r="AG1012" s="1869">
        <v>11.08</v>
      </c>
      <c r="AH1012" s="264">
        <f t="shared" si="598"/>
        <v>9.9999999999999922E-2</v>
      </c>
      <c r="AI1012" s="459"/>
      <c r="AJ1012" s="460"/>
      <c r="AK1012" s="461"/>
      <c r="AL1012" s="1249"/>
      <c r="AM1012" s="459"/>
      <c r="AN1012" s="459"/>
      <c r="AO1012" s="13"/>
      <c r="AP1012" s="13"/>
    </row>
    <row r="1013" spans="1:42" ht="15.75">
      <c r="A1013" s="187"/>
      <c r="B1013" s="1703" t="s">
        <v>899</v>
      </c>
      <c r="C1013" s="1681" t="s">
        <v>901</v>
      </c>
      <c r="D1013" s="804">
        <v>470</v>
      </c>
      <c r="E1013" s="804">
        <v>4</v>
      </c>
      <c r="F1013" s="251">
        <v>40</v>
      </c>
      <c r="G1013" s="328"/>
      <c r="H1013" s="453">
        <v>484</v>
      </c>
      <c r="I1013" s="357">
        <f t="shared" si="601"/>
        <v>246.84</v>
      </c>
      <c r="J1013" s="883"/>
      <c r="K1013" s="912">
        <v>506</v>
      </c>
      <c r="L1013" s="322">
        <v>454</v>
      </c>
      <c r="M1013" s="385">
        <f t="shared" si="599"/>
        <v>0.96595744680851059</v>
      </c>
      <c r="N1013" s="382">
        <f t="shared" si="600"/>
        <v>253</v>
      </c>
      <c r="O1013" s="918"/>
      <c r="P1013" s="1702">
        <f t="shared" si="586"/>
        <v>2.4955436720142554E-2</v>
      </c>
      <c r="Q1013" s="331">
        <v>5.5931999999999995</v>
      </c>
      <c r="R1013" s="382">
        <f t="shared" si="587"/>
        <v>263.06497559999997</v>
      </c>
      <c r="S1013" s="918"/>
      <c r="T1013" s="696">
        <f t="shared" si="588"/>
        <v>-6.5730738940204037E-2</v>
      </c>
      <c r="U1013" s="261" t="s">
        <v>1433</v>
      </c>
      <c r="V1013" s="262">
        <f t="shared" si="589"/>
        <v>5.5931999999999995</v>
      </c>
      <c r="W1013" s="262">
        <f t="shared" si="590"/>
        <v>263.06497559999997</v>
      </c>
      <c r="X1013" s="263">
        <f>(ROUND(W1013/(1-$AB$997),0))</f>
        <v>292</v>
      </c>
      <c r="Y1013" s="262">
        <f t="shared" si="591"/>
        <v>281.01</v>
      </c>
      <c r="Z1013" s="263">
        <f t="shared" si="592"/>
        <v>551</v>
      </c>
      <c r="AA1013" s="264">
        <f t="shared" si="593"/>
        <v>9.9092549315068598E-2</v>
      </c>
      <c r="AB1013" s="264">
        <f t="shared" si="594"/>
        <v>6.3859024234013101E-2</v>
      </c>
      <c r="AC1013" s="1590">
        <f t="shared" si="595"/>
        <v>-9.9676168107896479E-2</v>
      </c>
      <c r="AD1013" s="266">
        <f t="shared" si="596"/>
        <v>-8.3106783596837833E-2</v>
      </c>
      <c r="AE1013" s="261">
        <f t="shared" si="597"/>
        <v>5.3792018370080577</v>
      </c>
      <c r="AF1013" s="262">
        <f>(V1013/(1-$AB$997))</f>
        <v>6.2146666666666661</v>
      </c>
      <c r="AG1013" s="1869">
        <v>11.73</v>
      </c>
      <c r="AH1013" s="264">
        <f t="shared" si="598"/>
        <v>0.1</v>
      </c>
      <c r="AI1013" s="459"/>
      <c r="AJ1013" s="460"/>
      <c r="AK1013" s="461"/>
      <c r="AL1013" s="1249"/>
      <c r="AM1013" s="459"/>
      <c r="AN1013" s="459"/>
      <c r="AO1013" s="13"/>
      <c r="AP1013" s="13"/>
    </row>
    <row r="1014" spans="1:42" ht="15.75">
      <c r="A1014" s="187"/>
      <c r="B1014" s="1703" t="s">
        <v>902</v>
      </c>
      <c r="C1014" s="1681" t="s">
        <v>903</v>
      </c>
      <c r="D1014" s="804">
        <v>385</v>
      </c>
      <c r="E1014" s="804">
        <v>4</v>
      </c>
      <c r="F1014" s="251">
        <v>60</v>
      </c>
      <c r="G1014" s="328"/>
      <c r="H1014" s="453">
        <v>439</v>
      </c>
      <c r="I1014" s="357">
        <f t="shared" si="601"/>
        <v>223.89000000000001</v>
      </c>
      <c r="J1014" s="883"/>
      <c r="K1014" s="912">
        <v>486</v>
      </c>
      <c r="L1014" s="322">
        <v>385</v>
      </c>
      <c r="M1014" s="385">
        <f t="shared" si="599"/>
        <v>1</v>
      </c>
      <c r="N1014" s="382">
        <f t="shared" si="600"/>
        <v>243</v>
      </c>
      <c r="O1014" s="918"/>
      <c r="P1014" s="1702">
        <f t="shared" si="586"/>
        <v>8.5354415114565096E-2</v>
      </c>
      <c r="Q1014" s="331">
        <v>4.4821439999999999</v>
      </c>
      <c r="R1014" s="382">
        <f t="shared" si="587"/>
        <v>210.80867875199999</v>
      </c>
      <c r="S1014" s="918"/>
      <c r="T1014" s="696">
        <f t="shared" si="588"/>
        <v>5.8427447621599994E-2</v>
      </c>
      <c r="U1014" s="261">
        <v>3.7351199999999998</v>
      </c>
      <c r="V1014" s="262">
        <f t="shared" si="589"/>
        <v>4.4821439999999999</v>
      </c>
      <c r="W1014" s="262">
        <f t="shared" si="590"/>
        <v>210.80867875199999</v>
      </c>
      <c r="X1014" s="263">
        <f>(ROUND(W1014/(1-$AC$997),0))</f>
        <v>245</v>
      </c>
      <c r="Y1014" s="262">
        <f t="shared" si="591"/>
        <v>235.62</v>
      </c>
      <c r="Z1014" s="263">
        <f t="shared" si="592"/>
        <v>462</v>
      </c>
      <c r="AA1014" s="264">
        <f t="shared" si="593"/>
        <v>0.13955641325714288</v>
      </c>
      <c r="AB1014" s="264">
        <f t="shared" si="594"/>
        <v>0.10530227165775406</v>
      </c>
      <c r="AC1014" s="1675">
        <f t="shared" si="595"/>
        <v>3.1321619556913705E-2</v>
      </c>
      <c r="AD1014" s="266">
        <f t="shared" si="596"/>
        <v>9.6327680246913627E-2</v>
      </c>
      <c r="AE1014" s="261">
        <f t="shared" si="597"/>
        <v>5.1665851636085298</v>
      </c>
      <c r="AF1014" s="262">
        <f>(V1014/(1-$AC$997))</f>
        <v>5.2117953488372093</v>
      </c>
      <c r="AG1014" s="1869">
        <v>9.83</v>
      </c>
      <c r="AH1014" s="264">
        <f t="shared" si="598"/>
        <v>0.14000000000000001</v>
      </c>
      <c r="AI1014" s="459"/>
      <c r="AJ1014" s="460"/>
      <c r="AK1014" s="461"/>
      <c r="AL1014" s="1249"/>
      <c r="AM1014" s="459"/>
      <c r="AN1014" s="459"/>
      <c r="AO1014" s="13"/>
      <c r="AP1014" s="13"/>
    </row>
    <row r="1015" spans="1:42" ht="15.75">
      <c r="A1015" s="187"/>
      <c r="B1015" s="1703" t="s">
        <v>905</v>
      </c>
      <c r="C1015" s="1681" t="s">
        <v>884</v>
      </c>
      <c r="D1015" s="804">
        <v>330</v>
      </c>
      <c r="E1015" s="804">
        <v>5</v>
      </c>
      <c r="F1015" s="251">
        <v>60</v>
      </c>
      <c r="G1015" s="328"/>
      <c r="H1015" s="453">
        <v>337</v>
      </c>
      <c r="I1015" s="357">
        <f t="shared" si="601"/>
        <v>171.87</v>
      </c>
      <c r="J1015" s="883"/>
      <c r="K1015" s="912">
        <v>340</v>
      </c>
      <c r="L1015" s="322">
        <v>292</v>
      </c>
      <c r="M1015" s="385">
        <f t="shared" si="599"/>
        <v>0.88484848484848488</v>
      </c>
      <c r="N1015" s="382">
        <f t="shared" si="600"/>
        <v>170</v>
      </c>
      <c r="O1015" s="918"/>
      <c r="P1015" s="964">
        <f t="shared" si="586"/>
        <v>-1.0880316518298794E-2</v>
      </c>
      <c r="Q1015" s="331">
        <v>3.9276</v>
      </c>
      <c r="R1015" s="382">
        <f t="shared" si="587"/>
        <v>184.72681080000001</v>
      </c>
      <c r="S1015" s="918"/>
      <c r="T1015" s="696">
        <f t="shared" si="588"/>
        <v>-7.4805438994588969E-2</v>
      </c>
      <c r="U1015" s="261" t="s">
        <v>1434</v>
      </c>
      <c r="V1015" s="262">
        <f t="shared" si="589"/>
        <v>3.9276</v>
      </c>
      <c r="W1015" s="262">
        <f t="shared" si="590"/>
        <v>184.72681080000001</v>
      </c>
      <c r="X1015" s="263">
        <f>(ROUND(W1015/(1-$AB$997),0))</f>
        <v>205</v>
      </c>
      <c r="Y1015" s="262">
        <f t="shared" si="591"/>
        <v>197.37</v>
      </c>
      <c r="Z1015" s="263">
        <f t="shared" si="592"/>
        <v>387</v>
      </c>
      <c r="AA1015" s="264">
        <f t="shared" si="593"/>
        <v>9.8893605853658487E-2</v>
      </c>
      <c r="AB1015" s="264">
        <f t="shared" si="594"/>
        <v>6.405831281349747E-2</v>
      </c>
      <c r="AC1015" s="1590">
        <f t="shared" si="595"/>
        <v>-0.13867355727820851</v>
      </c>
      <c r="AD1015" s="266">
        <f t="shared" si="596"/>
        <v>-0.1319044779411766</v>
      </c>
      <c r="AE1015" s="261">
        <f t="shared" si="597"/>
        <v>3.6144834477919758</v>
      </c>
      <c r="AF1015" s="262">
        <f>(V1015/(1-$AB$997))</f>
        <v>4.3639999999999999</v>
      </c>
      <c r="AG1015" s="1869">
        <v>8.23</v>
      </c>
      <c r="AH1015" s="264">
        <f t="shared" si="598"/>
        <v>9.9999999999999978E-2</v>
      </c>
      <c r="AI1015" s="459"/>
      <c r="AJ1015" s="460"/>
      <c r="AK1015" s="461"/>
      <c r="AL1015" s="1249"/>
      <c r="AM1015" s="459"/>
      <c r="AN1015" s="459"/>
      <c r="AO1015" s="13"/>
      <c r="AP1015" s="13"/>
    </row>
    <row r="1016" spans="1:42" ht="16.5" thickBot="1">
      <c r="A1016" s="187"/>
      <c r="B1016" s="1103" t="s">
        <v>904</v>
      </c>
      <c r="C1016" s="1683" t="s">
        <v>906</v>
      </c>
      <c r="D1016" s="790">
        <v>212</v>
      </c>
      <c r="E1016" s="790">
        <v>5</v>
      </c>
      <c r="F1016" s="276">
        <v>80</v>
      </c>
      <c r="G1016" s="339"/>
      <c r="H1016" s="1031">
        <v>241</v>
      </c>
      <c r="I1016" s="360">
        <f t="shared" si="601"/>
        <v>122.91</v>
      </c>
      <c r="J1016" s="1704"/>
      <c r="K1016" s="912">
        <v>254</v>
      </c>
      <c r="L1016" s="322">
        <v>212</v>
      </c>
      <c r="M1016" s="385">
        <f t="shared" si="599"/>
        <v>1</v>
      </c>
      <c r="N1016" s="382">
        <f t="shared" si="600"/>
        <v>127</v>
      </c>
      <c r="O1016" s="918"/>
      <c r="P1016" s="1702">
        <f t="shared" si="586"/>
        <v>3.3276381091855933E-2</v>
      </c>
      <c r="Q1016" s="331">
        <v>2.468016</v>
      </c>
      <c r="R1016" s="382">
        <f t="shared" si="587"/>
        <v>116.07819652800001</v>
      </c>
      <c r="S1016" s="918"/>
      <c r="T1016" s="696">
        <f t="shared" si="588"/>
        <v>5.558378872345611E-2</v>
      </c>
      <c r="U1016" s="261">
        <v>2.0566800000000001</v>
      </c>
      <c r="V1016" s="262">
        <f t="shared" si="589"/>
        <v>2.468016</v>
      </c>
      <c r="W1016" s="262">
        <f t="shared" si="590"/>
        <v>116.07819652800001</v>
      </c>
      <c r="X1016" s="263">
        <f>(ROUND(W1016/(1-$AB$997),0))</f>
        <v>129</v>
      </c>
      <c r="Y1016" s="262">
        <f t="shared" si="591"/>
        <v>123.93</v>
      </c>
      <c r="Z1016" s="263">
        <f t="shared" si="592"/>
        <v>243</v>
      </c>
      <c r="AA1016" s="264">
        <f t="shared" si="593"/>
        <v>0.10016901916279064</v>
      </c>
      <c r="AB1016" s="264">
        <f t="shared" si="594"/>
        <v>6.3356761655773419E-2</v>
      </c>
      <c r="AC1016" s="1675">
        <f t="shared" si="595"/>
        <v>2.47720487371903E-2</v>
      </c>
      <c r="AD1016" s="266">
        <f t="shared" si="596"/>
        <v>4.7915054724409406E-2</v>
      </c>
      <c r="AE1016" s="261">
        <f t="shared" si="597"/>
        <v>2.7002317521740054</v>
      </c>
      <c r="AF1016" s="262">
        <f>(V1016/(1-$AB$997))</f>
        <v>2.7422399999999998</v>
      </c>
      <c r="AG1016" s="1869">
        <v>5.17</v>
      </c>
      <c r="AH1016" s="264">
        <f t="shared" si="598"/>
        <v>9.9999999999999936E-2</v>
      </c>
      <c r="AI1016" s="459"/>
      <c r="AJ1016" s="460"/>
      <c r="AK1016" s="461"/>
      <c r="AL1016" s="1249"/>
      <c r="AM1016" s="459"/>
      <c r="AN1016" s="459"/>
      <c r="AO1016" s="13"/>
      <c r="AP1016" s="13"/>
    </row>
    <row r="1017" spans="1:42" ht="19.5" thickBot="1">
      <c r="A1017" s="149" t="s">
        <v>40</v>
      </c>
      <c r="C1017" s="157" t="s">
        <v>41</v>
      </c>
      <c r="J1017" s="532"/>
      <c r="K1017" s="533"/>
      <c r="P1017" s="1705"/>
      <c r="Q1017" s="1091"/>
      <c r="R1017" s="1092"/>
      <c r="S1017" s="364"/>
      <c r="T1017" s="364"/>
      <c r="U1017" s="872"/>
      <c r="V1017" s="872"/>
      <c r="W1017" s="872"/>
      <c r="X1017" s="872"/>
      <c r="Y1017" s="872"/>
      <c r="Z1017" s="872"/>
      <c r="AA1017" s="364"/>
      <c r="AB1017" s="364"/>
      <c r="AC1017" s="364"/>
      <c r="AD1017" s="364">
        <f>AVERAGE(AD1002:AD1005)</f>
        <v>7.747096989809675E-2</v>
      </c>
      <c r="AE1017" s="872"/>
      <c r="AF1017" s="872"/>
      <c r="AG1017" s="1882"/>
      <c r="AH1017" s="364"/>
      <c r="AI1017" s="512">
        <f>S1002*AI1002+S1003*AI1003+S1004*AI1004+S1005*AI1005</f>
        <v>9.7197750532128334E-3</v>
      </c>
      <c r="AJ1017" s="513">
        <f>SUM(AJ1002:AJ1005)</f>
        <v>37551</v>
      </c>
      <c r="AK1017" s="514">
        <f>SUM(AK1002:AK1005)</f>
        <v>420.0479355564047</v>
      </c>
      <c r="AM1017" s="307">
        <f>SUM(AM1002:AM1005)</f>
        <v>5.0461261430750318E-2</v>
      </c>
      <c r="AN1017" s="307">
        <f>SUM(AN1002:AN1005)</f>
        <v>-5.5090903593450488E-3</v>
      </c>
      <c r="AO1017" s="13"/>
      <c r="AP1017" s="13"/>
    </row>
    <row r="1018" spans="1:42" ht="15.75" thickBot="1">
      <c r="A1018" s="187"/>
      <c r="B1018" s="157"/>
      <c r="C1018" s="148" t="s">
        <v>42</v>
      </c>
      <c r="J1018" s="532"/>
      <c r="K1018" s="2309" t="s">
        <v>1435</v>
      </c>
      <c r="L1018" s="2309"/>
      <c r="M1018" s="2309"/>
      <c r="N1018" s="2309"/>
      <c r="O1018" s="2309"/>
      <c r="P1018" s="1852"/>
      <c r="T1018" s="1851"/>
      <c r="U1018" s="309"/>
      <c r="V1018" s="309"/>
      <c r="W1018" s="309"/>
      <c r="X1018" s="309"/>
      <c r="Y1018" s="309"/>
      <c r="Z1018" s="309"/>
      <c r="AA1018" s="346">
        <v>0.19</v>
      </c>
      <c r="AB1018" s="628">
        <v>0.14000000000000001</v>
      </c>
      <c r="AC1018" s="628">
        <v>0.12</v>
      </c>
      <c r="AD1018" s="585">
        <v>0.1</v>
      </c>
      <c r="AE1018" s="188"/>
      <c r="AF1018" s="188"/>
      <c r="AG1018" s="1866"/>
      <c r="AH1018" s="1851"/>
      <c r="AO1018" s="13"/>
      <c r="AP1018" s="13"/>
    </row>
    <row r="1019" spans="1:42" ht="60.75" thickBot="1">
      <c r="A1019" s="187"/>
      <c r="B1019" s="189" t="s">
        <v>10</v>
      </c>
      <c r="C1019" s="1326" t="s">
        <v>11</v>
      </c>
      <c r="D1019" s="190" t="s">
        <v>12</v>
      </c>
      <c r="E1019" s="190" t="s">
        <v>13</v>
      </c>
      <c r="F1019" s="190" t="s">
        <v>14</v>
      </c>
      <c r="G1019" s="191" t="s">
        <v>15</v>
      </c>
      <c r="H1019" s="347" t="s">
        <v>1090</v>
      </c>
      <c r="I1019" s="347">
        <f>$C$20</f>
        <v>0.49</v>
      </c>
      <c r="J1019" s="873">
        <f>$C$20</f>
        <v>0.49</v>
      </c>
      <c r="K1019" s="548" t="s">
        <v>15</v>
      </c>
      <c r="L1019" s="423" t="s">
        <v>12</v>
      </c>
      <c r="M1019" s="196" t="s">
        <v>1091</v>
      </c>
      <c r="N1019" s="549" t="s">
        <v>993</v>
      </c>
      <c r="O1019" s="424" t="s">
        <v>1092</v>
      </c>
      <c r="P1019" s="199" t="s">
        <v>1092</v>
      </c>
      <c r="Q1019" s="200" t="s">
        <v>1093</v>
      </c>
      <c r="R1019" s="201" t="s">
        <v>1094</v>
      </c>
      <c r="S1019" s="350" t="s">
        <v>1095</v>
      </c>
      <c r="T1019" s="203" t="s">
        <v>1095</v>
      </c>
      <c r="U1019" s="204" t="s">
        <v>1096</v>
      </c>
      <c r="V1019" s="205" t="s">
        <v>1093</v>
      </c>
      <c r="W1019" s="206" t="s">
        <v>1094</v>
      </c>
      <c r="X1019" s="207" t="s">
        <v>1097</v>
      </c>
      <c r="Y1019" s="208">
        <v>0.49</v>
      </c>
      <c r="Z1019" s="207" t="s">
        <v>1098</v>
      </c>
      <c r="AA1019" s="209" t="s">
        <v>1099</v>
      </c>
      <c r="AB1019" s="209" t="s">
        <v>1100</v>
      </c>
      <c r="AC1019" s="210" t="s">
        <v>1092</v>
      </c>
      <c r="AD1019" s="211" t="s">
        <v>1101</v>
      </c>
      <c r="AE1019" s="212" t="s">
        <v>1102</v>
      </c>
      <c r="AF1019" s="208" t="s">
        <v>1103</v>
      </c>
      <c r="AG1019" s="1867" t="s">
        <v>1104</v>
      </c>
      <c r="AH1019" s="213" t="s">
        <v>1105</v>
      </c>
      <c r="AI1019" s="220" t="s">
        <v>1106</v>
      </c>
      <c r="AJ1019" s="483" t="s">
        <v>1107</v>
      </c>
      <c r="AK1019" s="484" t="s">
        <v>1108</v>
      </c>
      <c r="AL1019" s="221" t="s">
        <v>1109</v>
      </c>
      <c r="AM1019" s="221" t="s">
        <v>1175</v>
      </c>
      <c r="AN1019" s="221" t="s">
        <v>1176</v>
      </c>
      <c r="AO1019" s="13"/>
      <c r="AP1019" s="13"/>
    </row>
    <row r="1020" spans="1:42" ht="15.75">
      <c r="A1020" s="187"/>
      <c r="B1020" s="351" t="s">
        <v>265</v>
      </c>
      <c r="C1020" s="224" t="s">
        <v>190</v>
      </c>
      <c r="D1020" s="224">
        <v>18</v>
      </c>
      <c r="E1020" s="224">
        <v>40</v>
      </c>
      <c r="F1020" s="224">
        <v>1000</v>
      </c>
      <c r="G1020" s="425">
        <v>20</v>
      </c>
      <c r="H1020" s="397">
        <f t="shared" ref="H1020:H1025" si="602">G1020*(1+$H$33)</f>
        <v>21.400000000000002</v>
      </c>
      <c r="I1020" s="397">
        <f t="shared" ref="I1020:I1025" si="603">H1020-H1020*$J$833</f>
        <v>10.914000000000001</v>
      </c>
      <c r="J1020" s="1039">
        <f t="shared" ref="J1020:J1025" si="604">G1020-G1020*$J$833</f>
        <v>10.199999999999999</v>
      </c>
      <c r="K1020" s="691">
        <v>32</v>
      </c>
      <c r="L1020" s="808">
        <v>28</v>
      </c>
      <c r="M1020" s="878">
        <f t="shared" ref="M1020:M1025" si="605">L1020/D1020*100%</f>
        <v>1.5555555555555556</v>
      </c>
      <c r="N1020" s="235">
        <f t="shared" ref="N1020:N1025" si="606">K1020-(K1020*$O$33)</f>
        <v>16</v>
      </c>
      <c r="O1020" s="1295">
        <f t="shared" ref="O1020:O1025" si="607">((N1020/J1020)-1)*100%</f>
        <v>0.56862745098039236</v>
      </c>
      <c r="P1020" s="856">
        <f t="shared" ref="P1020:P1025" si="608">((N1020/I1020)-1)*100%</f>
        <v>0.46600696353307658</v>
      </c>
      <c r="Q1020" s="234">
        <v>0.21000000000000002</v>
      </c>
      <c r="R1020" s="235">
        <f t="shared" ref="R1020:R1025" si="609">Q1020*$R$33</f>
        <v>9.8769300000000015</v>
      </c>
      <c r="S1020" s="236">
        <f t="shared" ref="S1020:S1025" si="610">((J1020-R1020)/J1020)*100%</f>
        <v>3.1673529411764489E-2</v>
      </c>
      <c r="T1020" s="237">
        <f t="shared" ref="T1020:T1025" si="611">((I1020-R1020)/I1020)*100%</f>
        <v>9.5021990104452975E-2</v>
      </c>
      <c r="U1020" s="238">
        <v>0.17729999999999999</v>
      </c>
      <c r="V1020" s="239">
        <f t="shared" ref="V1020:V1025" si="612">U1020*$X$31</f>
        <v>0.21275999999999998</v>
      </c>
      <c r="W1020" s="239">
        <f t="shared" ref="W1020:W1025" si="613">V1020*$R$33</f>
        <v>10.006741079999999</v>
      </c>
      <c r="X1020" s="240">
        <f>(ROUND(W1020/(1-$AA$1018),0))</f>
        <v>12</v>
      </c>
      <c r="Y1020" s="239">
        <f t="shared" ref="Y1020:Y1025" si="614">Z1020*(1-$X$33)</f>
        <v>11.73</v>
      </c>
      <c r="Z1020" s="240">
        <f t="shared" ref="Z1020:Z1025" si="615">ROUND(X1020/(1-$X$828),0)</f>
        <v>23</v>
      </c>
      <c r="AA1020" s="241">
        <f t="shared" ref="AA1020:AA1025" si="616">((X1020-W1020)/X1020)*100%</f>
        <v>0.16610491000000005</v>
      </c>
      <c r="AB1020" s="241">
        <f t="shared" ref="AB1020:AB1025" si="617">((Y1020-W1020)/Y1020)*100%</f>
        <v>0.14691039386189267</v>
      </c>
      <c r="AC1020" s="242">
        <f t="shared" ref="AC1020:AC1025" si="618">((N1020/Y1020)-1)*100%</f>
        <v>0.36402387041773232</v>
      </c>
      <c r="AD1020" s="243">
        <f t="shared" ref="AD1020:AD1025" si="619">((N1020*0.96-W1020)/(N1020*0.96))*100%</f>
        <v>0.34851946093750003</v>
      </c>
      <c r="AE1020" s="238">
        <f t="shared" ref="AE1020:AE1025" si="620">N1020/$R$33</f>
        <v>0.3401866774392448</v>
      </c>
      <c r="AF1020" s="239">
        <f>(V1020/(1-$AA$1018))</f>
        <v>0.2626666666666666</v>
      </c>
      <c r="AG1020" s="1868">
        <v>0.5</v>
      </c>
      <c r="AH1020" s="244">
        <f t="shared" ref="AH1020:AH1025" si="621">((AF1020-V1020)/AF1020)*100%</f>
        <v>0.18999999999999989</v>
      </c>
      <c r="AI1020" s="92">
        <f t="shared" ref="AI1020:AI1025" si="622">AJ1020/$AJ$1026</f>
        <v>0.69457251895214911</v>
      </c>
      <c r="AJ1020" s="338">
        <f>[1]Статистика!D284</f>
        <v>40222</v>
      </c>
      <c r="AK1020" s="297">
        <f t="shared" ref="AK1020:AK1025" si="623">Q1020*S1020*AJ1020</f>
        <v>267.53426699999818</v>
      </c>
      <c r="AL1020" s="866">
        <f t="shared" ref="AL1020:AL1025" si="624">AK1020/$AK$1026</f>
        <v>-0.25262771857838773</v>
      </c>
      <c r="AM1020" s="92">
        <f t="shared" ref="AM1020:AM1025" si="625">AJ1020/$AJ$1101</f>
        <v>5.405056742210964E-2</v>
      </c>
      <c r="AN1020" s="92">
        <f t="shared" ref="AN1020:AN1025" si="626">AK1020/$AK$1101</f>
        <v>-3.5088148907857692E-3</v>
      </c>
      <c r="AO1020" s="13"/>
      <c r="AP1020" s="13"/>
    </row>
    <row r="1021" spans="1:42" ht="15.75">
      <c r="A1021" s="271"/>
      <c r="B1021" s="356" t="s">
        <v>266</v>
      </c>
      <c r="C1021" s="251" t="s">
        <v>192</v>
      </c>
      <c r="D1021" s="251">
        <v>36</v>
      </c>
      <c r="E1021" s="251">
        <v>20</v>
      </c>
      <c r="F1021" s="251">
        <v>500</v>
      </c>
      <c r="G1021" s="328">
        <v>36.467965138391513</v>
      </c>
      <c r="H1021" s="357">
        <f t="shared" si="602"/>
        <v>39.02072269807892</v>
      </c>
      <c r="I1021" s="357">
        <f t="shared" si="603"/>
        <v>19.900568576020248</v>
      </c>
      <c r="J1021" s="884">
        <f t="shared" si="604"/>
        <v>18.598662220579673</v>
      </c>
      <c r="K1021" s="321">
        <v>48</v>
      </c>
      <c r="L1021" s="322">
        <v>43</v>
      </c>
      <c r="M1021" s="335">
        <f t="shared" si="605"/>
        <v>1.1944444444444444</v>
      </c>
      <c r="N1021" s="382">
        <f t="shared" si="606"/>
        <v>24</v>
      </c>
      <c r="O1021" s="329">
        <f t="shared" si="607"/>
        <v>0.29041539199758537</v>
      </c>
      <c r="P1021" s="861">
        <f t="shared" si="608"/>
        <v>0.20599569345568747</v>
      </c>
      <c r="Q1021" s="257">
        <v>0.41029411764705881</v>
      </c>
      <c r="R1021" s="258">
        <f t="shared" si="609"/>
        <v>19.297363235294117</v>
      </c>
      <c r="S1021" s="259">
        <f t="shared" si="610"/>
        <v>-3.7567272657993776E-2</v>
      </c>
      <c r="T1021" s="260">
        <f t="shared" si="611"/>
        <v>3.0310960132716013E-2</v>
      </c>
      <c r="U1021" s="261">
        <v>0.33982499999999999</v>
      </c>
      <c r="V1021" s="239">
        <f t="shared" si="612"/>
        <v>0.40778999999999999</v>
      </c>
      <c r="W1021" s="262">
        <f t="shared" si="613"/>
        <v>19.17958707</v>
      </c>
      <c r="X1021" s="240">
        <f>(ROUND(W1021/(1-$AA$1018),0))</f>
        <v>24</v>
      </c>
      <c r="Y1021" s="239">
        <f t="shared" si="614"/>
        <v>22.95</v>
      </c>
      <c r="Z1021" s="240">
        <f t="shared" si="615"/>
        <v>45</v>
      </c>
      <c r="AA1021" s="264">
        <f t="shared" si="616"/>
        <v>0.20085053875</v>
      </c>
      <c r="AB1021" s="241">
        <f t="shared" si="617"/>
        <v>0.16428814509803918</v>
      </c>
      <c r="AC1021" s="242">
        <f t="shared" si="618"/>
        <v>4.5751633986928164E-2</v>
      </c>
      <c r="AD1021" s="266">
        <f t="shared" si="619"/>
        <v>0.16755264453124996</v>
      </c>
      <c r="AE1021" s="261">
        <f t="shared" si="620"/>
        <v>0.5102800161588672</v>
      </c>
      <c r="AF1021" s="239">
        <f>(V1021/(1-$AA$1018))</f>
        <v>0.50344444444444436</v>
      </c>
      <c r="AG1021" s="1868">
        <f>AF1021/(1-$X$828)</f>
        <v>0.94989517819706482</v>
      </c>
      <c r="AH1021" s="267">
        <f t="shared" si="621"/>
        <v>0.18999999999999989</v>
      </c>
      <c r="AI1021" s="77">
        <f t="shared" si="622"/>
        <v>0.10203940665526948</v>
      </c>
      <c r="AJ1021" s="333">
        <f>[1]Статистика!D285</f>
        <v>5909</v>
      </c>
      <c r="AK1021" s="270">
        <f t="shared" si="623"/>
        <v>-91.079145505834958</v>
      </c>
      <c r="AL1021" s="506">
        <f t="shared" si="624"/>
        <v>8.6004372438795884E-2</v>
      </c>
      <c r="AM1021" s="77">
        <f t="shared" si="625"/>
        <v>7.9405500198211389E-3</v>
      </c>
      <c r="AN1021" s="77">
        <f t="shared" si="626"/>
        <v>1.194538051422473E-3</v>
      </c>
      <c r="AO1021" s="13"/>
      <c r="AP1021" s="13"/>
    </row>
    <row r="1022" spans="1:42" ht="15.75">
      <c r="A1022" s="187"/>
      <c r="B1022" s="356" t="s">
        <v>267</v>
      </c>
      <c r="C1022" s="251" t="s">
        <v>194</v>
      </c>
      <c r="D1022" s="251">
        <v>57</v>
      </c>
      <c r="E1022" s="251">
        <v>10</v>
      </c>
      <c r="F1022" s="251">
        <v>250</v>
      </c>
      <c r="G1022" s="433">
        <v>62</v>
      </c>
      <c r="H1022" s="357">
        <f t="shared" si="602"/>
        <v>66.34</v>
      </c>
      <c r="I1022" s="357">
        <f t="shared" si="603"/>
        <v>33.833400000000005</v>
      </c>
      <c r="J1022" s="884">
        <f t="shared" si="604"/>
        <v>31.62</v>
      </c>
      <c r="K1022" s="321">
        <v>89</v>
      </c>
      <c r="L1022" s="322">
        <v>75</v>
      </c>
      <c r="M1022" s="335">
        <f t="shared" si="605"/>
        <v>1.3157894736842106</v>
      </c>
      <c r="N1022" s="382">
        <f t="shared" si="606"/>
        <v>44.5</v>
      </c>
      <c r="O1022" s="329">
        <f t="shared" si="607"/>
        <v>0.4073371283997469</v>
      </c>
      <c r="P1022" s="861">
        <f t="shared" si="608"/>
        <v>0.31526834429882888</v>
      </c>
      <c r="Q1022" s="273">
        <v>0.66656514769864905</v>
      </c>
      <c r="R1022" s="258">
        <f t="shared" si="609"/>
        <v>31.350558591710563</v>
      </c>
      <c r="S1022" s="259">
        <f t="shared" si="610"/>
        <v>8.5212336587425132E-3</v>
      </c>
      <c r="T1022" s="260">
        <f t="shared" si="611"/>
        <v>7.3384330522189359E-2</v>
      </c>
      <c r="U1022" s="261">
        <v>0.54667500000000002</v>
      </c>
      <c r="V1022" s="239">
        <f t="shared" si="612"/>
        <v>0.65600999999999998</v>
      </c>
      <c r="W1022" s="262">
        <f t="shared" si="613"/>
        <v>30.854118329999999</v>
      </c>
      <c r="X1022" s="240">
        <f>(ROUND(W1022/(1-$AA$1018),0))</f>
        <v>38</v>
      </c>
      <c r="Y1022" s="239">
        <f t="shared" si="614"/>
        <v>36.72</v>
      </c>
      <c r="Z1022" s="240">
        <f t="shared" si="615"/>
        <v>72</v>
      </c>
      <c r="AA1022" s="264">
        <f t="shared" si="616"/>
        <v>0.18804951763157898</v>
      </c>
      <c r="AB1022" s="241">
        <f t="shared" si="617"/>
        <v>0.15974623284313727</v>
      </c>
      <c r="AC1022" s="242">
        <f t="shared" si="618"/>
        <v>0.21187363834422657</v>
      </c>
      <c r="AD1022" s="266">
        <f t="shared" si="619"/>
        <v>0.27775940238764046</v>
      </c>
      <c r="AE1022" s="261">
        <f t="shared" si="620"/>
        <v>0.9461441966278995</v>
      </c>
      <c r="AF1022" s="239">
        <f>(V1022/(1-$AA$1018))</f>
        <v>0.80988888888888877</v>
      </c>
      <c r="AG1022" s="1868">
        <v>1.53</v>
      </c>
      <c r="AH1022" s="267">
        <f t="shared" si="621"/>
        <v>0.18999999999999989</v>
      </c>
      <c r="AI1022" s="77">
        <f t="shared" si="622"/>
        <v>0.12062028354832582</v>
      </c>
      <c r="AJ1022" s="333">
        <f>[1]Статистика!D286</f>
        <v>6985</v>
      </c>
      <c r="AK1022" s="270">
        <f t="shared" si="623"/>
        <v>39.674502245616104</v>
      </c>
      <c r="AL1022" s="506">
        <f t="shared" si="624"/>
        <v>-3.7463907335814985E-2</v>
      </c>
      <c r="AM1022" s="77">
        <f t="shared" si="625"/>
        <v>9.3864853424353804E-3</v>
      </c>
      <c r="AN1022" s="77">
        <f t="shared" si="626"/>
        <v>-5.2034636842962685E-4</v>
      </c>
      <c r="AO1022" s="13"/>
      <c r="AP1022" s="13"/>
    </row>
    <row r="1023" spans="1:42" ht="15.75">
      <c r="A1023" s="187"/>
      <c r="B1023" s="1602" t="s">
        <v>1436</v>
      </c>
      <c r="C1023" s="926" t="s">
        <v>209</v>
      </c>
      <c r="D1023" s="926">
        <v>150</v>
      </c>
      <c r="E1023" s="926">
        <v>10</v>
      </c>
      <c r="F1023" s="926">
        <v>150</v>
      </c>
      <c r="G1023" s="433">
        <v>132</v>
      </c>
      <c r="H1023" s="357">
        <f t="shared" si="602"/>
        <v>141.24</v>
      </c>
      <c r="I1023" s="357">
        <f t="shared" si="603"/>
        <v>72.03240000000001</v>
      </c>
      <c r="J1023" s="927">
        <f t="shared" si="604"/>
        <v>67.320000000000007</v>
      </c>
      <c r="K1023" s="1622">
        <v>178</v>
      </c>
      <c r="L1023" s="929">
        <v>150</v>
      </c>
      <c r="M1023" s="495">
        <f t="shared" si="605"/>
        <v>1</v>
      </c>
      <c r="N1023" s="496">
        <f t="shared" si="606"/>
        <v>89</v>
      </c>
      <c r="O1023" s="932">
        <f t="shared" si="607"/>
        <v>0.32204396910279254</v>
      </c>
      <c r="P1023" s="861">
        <f t="shared" si="608"/>
        <v>0.23555511131102103</v>
      </c>
      <c r="Q1023" s="1570">
        <v>1.6688078967350037</v>
      </c>
      <c r="R1023" s="650">
        <f t="shared" si="609"/>
        <v>78.48904180713744</v>
      </c>
      <c r="S1023" s="933">
        <f t="shared" si="610"/>
        <v>-0.16590971193014603</v>
      </c>
      <c r="T1023" s="260">
        <f t="shared" si="611"/>
        <v>-8.9635244794528973E-2</v>
      </c>
      <c r="U1023" s="261">
        <v>1.3721049999999999</v>
      </c>
      <c r="V1023" s="239">
        <f t="shared" si="612"/>
        <v>1.6465259999999999</v>
      </c>
      <c r="W1023" s="262">
        <f t="shared" si="613"/>
        <v>77.441057357999995</v>
      </c>
      <c r="X1023" s="240">
        <f>(ROUND(W1023/(1-$AB$1018),0))</f>
        <v>90</v>
      </c>
      <c r="Y1023" s="239">
        <f t="shared" si="614"/>
        <v>86.7</v>
      </c>
      <c r="Z1023" s="240">
        <f t="shared" si="615"/>
        <v>170</v>
      </c>
      <c r="AA1023" s="264">
        <f t="shared" si="616"/>
        <v>0.13954380713333339</v>
      </c>
      <c r="AB1023" s="241">
        <f t="shared" si="617"/>
        <v>0.10679287937716272</v>
      </c>
      <c r="AC1023" s="242">
        <f t="shared" si="618"/>
        <v>2.6528258362168433E-2</v>
      </c>
      <c r="AD1023" s="266">
        <f t="shared" si="619"/>
        <v>9.3620583356741616E-2</v>
      </c>
      <c r="AE1023" s="261">
        <f t="shared" si="620"/>
        <v>1.892288393255799</v>
      </c>
      <c r="AF1023" s="239">
        <f>(V1023/(1-$AB$1018))</f>
        <v>1.9145651162790698</v>
      </c>
      <c r="AG1023" s="1868">
        <v>3.61</v>
      </c>
      <c r="AH1023" s="267">
        <f t="shared" si="621"/>
        <v>0.14000000000000004</v>
      </c>
      <c r="AI1023" s="77">
        <f t="shared" si="622"/>
        <v>7.0973423820131585E-3</v>
      </c>
      <c r="AJ1023" s="333">
        <f>[1]Статистика!D287</f>
        <v>411</v>
      </c>
      <c r="AK1023" s="270">
        <f t="shared" si="623"/>
        <v>-113.79416077717757</v>
      </c>
      <c r="AL1023" s="506">
        <f t="shared" si="624"/>
        <v>0.10745374619499048</v>
      </c>
      <c r="AM1023" s="77">
        <f t="shared" si="625"/>
        <v>5.5230429144465876E-4</v>
      </c>
      <c r="AN1023" s="77">
        <f t="shared" si="626"/>
        <v>1.4924542201520423E-3</v>
      </c>
      <c r="AO1023" s="13"/>
      <c r="AP1023" s="13"/>
    </row>
    <row r="1024" spans="1:42" ht="15.75">
      <c r="A1024" s="187"/>
      <c r="B1024" s="356" t="s">
        <v>1437</v>
      </c>
      <c r="C1024" s="251" t="s">
        <v>1350</v>
      </c>
      <c r="D1024" s="251">
        <v>163</v>
      </c>
      <c r="E1024" s="251">
        <v>10</v>
      </c>
      <c r="F1024" s="251">
        <v>120</v>
      </c>
      <c r="G1024" s="433">
        <v>144</v>
      </c>
      <c r="H1024" s="357">
        <f t="shared" si="602"/>
        <v>154.08000000000001</v>
      </c>
      <c r="I1024" s="357">
        <f t="shared" si="603"/>
        <v>78.580800000000011</v>
      </c>
      <c r="J1024" s="884">
        <f t="shared" si="604"/>
        <v>73.44</v>
      </c>
      <c r="K1024" s="321">
        <v>190</v>
      </c>
      <c r="L1024" s="322">
        <v>163</v>
      </c>
      <c r="M1024" s="385">
        <f t="shared" si="605"/>
        <v>1</v>
      </c>
      <c r="N1024" s="382">
        <f t="shared" si="606"/>
        <v>95</v>
      </c>
      <c r="O1024" s="329">
        <f t="shared" si="607"/>
        <v>0.29357298474945548</v>
      </c>
      <c r="P1024" s="1658">
        <f t="shared" si="608"/>
        <v>0.20894671471911708</v>
      </c>
      <c r="Q1024" s="257">
        <v>1.78</v>
      </c>
      <c r="R1024" s="258">
        <f t="shared" si="609"/>
        <v>83.718739999999997</v>
      </c>
      <c r="S1024" s="259">
        <f t="shared" si="610"/>
        <v>-0.13996105664488018</v>
      </c>
      <c r="T1024" s="260">
        <f t="shared" si="611"/>
        <v>-6.5384165088672869E-2</v>
      </c>
      <c r="U1024" s="261">
        <v>1.49129</v>
      </c>
      <c r="V1024" s="239">
        <f t="shared" si="612"/>
        <v>1.7895479999999999</v>
      </c>
      <c r="W1024" s="262">
        <f t="shared" si="613"/>
        <v>84.167811083999993</v>
      </c>
      <c r="X1024" s="240">
        <f>(ROUND(W1024/(1-$AB$1018),0))</f>
        <v>98</v>
      </c>
      <c r="Y1024" s="239">
        <f t="shared" si="614"/>
        <v>94.350000000000009</v>
      </c>
      <c r="Z1024" s="240">
        <f t="shared" si="615"/>
        <v>185</v>
      </c>
      <c r="AA1024" s="264">
        <f t="shared" si="616"/>
        <v>0.14114478485714294</v>
      </c>
      <c r="AB1024" s="241">
        <f t="shared" si="617"/>
        <v>0.10791933138314801</v>
      </c>
      <c r="AC1024" s="242">
        <f t="shared" si="618"/>
        <v>6.8892421833597339E-3</v>
      </c>
      <c r="AD1024" s="266">
        <f t="shared" si="619"/>
        <v>7.7107334605263256E-2</v>
      </c>
      <c r="AE1024" s="261">
        <f t="shared" si="620"/>
        <v>2.0198583972955158</v>
      </c>
      <c r="AF1024" s="239">
        <f>(V1024/(1-$AB$1018))</f>
        <v>2.0808697674418606</v>
      </c>
      <c r="AG1024" s="1868">
        <v>3.93</v>
      </c>
      <c r="AH1024" s="267">
        <f t="shared" si="621"/>
        <v>0.1400000000000001</v>
      </c>
      <c r="AI1024" s="77">
        <f t="shared" si="622"/>
        <v>7.1577820373344384E-2</v>
      </c>
      <c r="AJ1024" s="333">
        <f>[1]Статистика!D288</f>
        <v>4145</v>
      </c>
      <c r="AK1024" s="270">
        <f t="shared" si="623"/>
        <v>-1032.6466720315905</v>
      </c>
      <c r="AL1024" s="506">
        <f t="shared" si="624"/>
        <v>0.97510937861618696</v>
      </c>
      <c r="AM1024" s="77">
        <f t="shared" si="625"/>
        <v>5.5700761266134075E-3</v>
      </c>
      <c r="AN1024" s="77">
        <f t="shared" si="626"/>
        <v>1.3543558589243589E-2</v>
      </c>
      <c r="AO1024" s="13"/>
      <c r="AP1024" s="13"/>
    </row>
    <row r="1025" spans="1:42" ht="16.5" thickBot="1">
      <c r="A1025" s="187"/>
      <c r="B1025" s="1603" t="s">
        <v>1438</v>
      </c>
      <c r="C1025" s="403" t="s">
        <v>1392</v>
      </c>
      <c r="D1025" s="403">
        <v>288</v>
      </c>
      <c r="E1025" s="403">
        <v>10</v>
      </c>
      <c r="F1025" s="403">
        <v>80</v>
      </c>
      <c r="G1025" s="916">
        <v>268</v>
      </c>
      <c r="H1025" s="360">
        <f t="shared" si="602"/>
        <v>286.76</v>
      </c>
      <c r="I1025" s="360">
        <f t="shared" si="603"/>
        <v>146.24760000000001</v>
      </c>
      <c r="J1025" s="1641">
        <f t="shared" si="604"/>
        <v>136.68</v>
      </c>
      <c r="K1025" s="1642">
        <v>332</v>
      </c>
      <c r="L1025" s="406">
        <v>288</v>
      </c>
      <c r="M1025" s="1015">
        <f t="shared" si="605"/>
        <v>1</v>
      </c>
      <c r="N1025" s="408">
        <f t="shared" si="606"/>
        <v>166</v>
      </c>
      <c r="O1025" s="409">
        <f t="shared" si="607"/>
        <v>0.21451565700907227</v>
      </c>
      <c r="P1025" s="1706">
        <f t="shared" si="608"/>
        <v>0.13506136169072169</v>
      </c>
      <c r="Q1025" s="1570">
        <v>3.3737780713342138</v>
      </c>
      <c r="R1025" s="650">
        <f t="shared" si="609"/>
        <v>158.6789040290621</v>
      </c>
      <c r="S1025" s="933">
        <f t="shared" si="610"/>
        <v>-0.1609518878333486</v>
      </c>
      <c r="T1025" s="287">
        <f t="shared" si="611"/>
        <v>-8.5001764330232363E-2</v>
      </c>
      <c r="U1025" s="261">
        <v>2.7747450000000002</v>
      </c>
      <c r="V1025" s="239">
        <f t="shared" si="612"/>
        <v>3.3296940000000004</v>
      </c>
      <c r="W1025" s="289">
        <f t="shared" si="613"/>
        <v>156.60549790200002</v>
      </c>
      <c r="X1025" s="240">
        <f>(ROUND(W1025/(1-$AD$1018),0))</f>
        <v>174</v>
      </c>
      <c r="Y1025" s="291">
        <f t="shared" si="614"/>
        <v>167.28</v>
      </c>
      <c r="Z1025" s="240">
        <f t="shared" si="615"/>
        <v>328</v>
      </c>
      <c r="AA1025" s="292">
        <f t="shared" si="616"/>
        <v>9.9968402862068831E-2</v>
      </c>
      <c r="AB1025" s="241">
        <f t="shared" si="617"/>
        <v>6.3812183751793261E-2</v>
      </c>
      <c r="AC1025" s="1707">
        <f t="shared" si="618"/>
        <v>-7.651841224294631E-3</v>
      </c>
      <c r="AD1025" s="294">
        <f t="shared" si="619"/>
        <v>1.7284777221385297E-2</v>
      </c>
      <c r="AE1025" s="288">
        <f t="shared" si="620"/>
        <v>3.5294367784321645</v>
      </c>
      <c r="AF1025" s="239">
        <f>(V1025/(1-$AD$1018))</f>
        <v>3.6996600000000002</v>
      </c>
      <c r="AG1025" s="1868">
        <v>6.98</v>
      </c>
      <c r="AH1025" s="295">
        <f t="shared" si="621"/>
        <v>9.9999999999999936E-2</v>
      </c>
      <c r="AI1025" s="77">
        <f t="shared" si="622"/>
        <v>4.092628088898099E-3</v>
      </c>
      <c r="AJ1025" s="333">
        <f>[1]Статистика!D289</f>
        <v>237</v>
      </c>
      <c r="AK1025" s="270">
        <f t="shared" si="623"/>
        <v>-128.69478008174295</v>
      </c>
      <c r="AL1025" s="506">
        <f t="shared" si="624"/>
        <v>0.12152412866422931</v>
      </c>
      <c r="AM1025" s="77">
        <f t="shared" si="625"/>
        <v>3.1848203667246745E-4</v>
      </c>
      <c r="AN1025" s="77">
        <f t="shared" si="626"/>
        <v>1.6878815778661449E-3</v>
      </c>
      <c r="AO1025" s="13"/>
      <c r="AP1025" s="13"/>
    </row>
    <row r="1026" spans="1:42" ht="15.75" thickBot="1">
      <c r="A1026" s="149" t="s">
        <v>43</v>
      </c>
      <c r="C1026" s="157" t="s">
        <v>44</v>
      </c>
      <c r="J1026" s="532"/>
      <c r="K1026" s="533"/>
      <c r="P1026" s="1209"/>
      <c r="Q1026" s="1091"/>
      <c r="R1026" s="1092"/>
      <c r="S1026" s="364"/>
      <c r="T1026" s="364"/>
      <c r="U1026" s="872"/>
      <c r="V1026" s="872"/>
      <c r="W1026" s="872"/>
      <c r="X1026" s="872"/>
      <c r="Y1026" s="872"/>
      <c r="Z1026" s="872"/>
      <c r="AA1026" s="364"/>
      <c r="AB1026" s="364"/>
      <c r="AC1026" s="364"/>
      <c r="AD1026" s="364">
        <f>AVERAGE(AD1020:AD1025)</f>
        <v>0.16364070050663013</v>
      </c>
      <c r="AE1026" s="872"/>
      <c r="AF1026" s="872"/>
      <c r="AG1026" s="1882"/>
      <c r="AH1026" s="364"/>
      <c r="AI1026" s="512">
        <f>S1020*AI1020+S1021*AI1021+S1022*AI1022+S1023*AI1023+S1024*AI1024+S1025*AI1025</f>
        <v>7.3397128970868206E-3</v>
      </c>
      <c r="AJ1026" s="513">
        <f>SUM(AJ1020:AJ1025)</f>
        <v>57909</v>
      </c>
      <c r="AK1026" s="514">
        <f>SUM(AK1020:AK1025)</f>
        <v>-1059.0059891507317</v>
      </c>
      <c r="AM1026" s="307">
        <f>SUM(AM1020:AM1025)</f>
        <v>7.7818465239096704E-2</v>
      </c>
      <c r="AN1026" s="307">
        <f>SUM(AN1020:AN1025)</f>
        <v>1.3889271179468853E-2</v>
      </c>
      <c r="AO1026" s="13"/>
      <c r="AP1026" s="13"/>
    </row>
    <row r="1027" spans="1:42" ht="15.75" thickBot="1">
      <c r="A1027" s="187"/>
      <c r="B1027" s="157"/>
      <c r="C1027" s="148" t="s">
        <v>9</v>
      </c>
      <c r="J1027" s="532"/>
      <c r="K1027" s="2309" t="s">
        <v>1439</v>
      </c>
      <c r="L1027" s="2309"/>
      <c r="M1027" s="2309"/>
      <c r="N1027" s="2309"/>
      <c r="O1027" s="2309"/>
      <c r="P1027" s="1852"/>
      <c r="T1027" s="1851"/>
      <c r="U1027" s="309"/>
      <c r="V1027" s="309"/>
      <c r="W1027" s="309"/>
      <c r="X1027" s="309"/>
      <c r="Y1027" s="309"/>
      <c r="Z1027" s="309"/>
      <c r="AA1027" s="346">
        <v>0.22</v>
      </c>
      <c r="AB1027" s="628">
        <v>0.17</v>
      </c>
      <c r="AC1027" s="628">
        <v>0.12</v>
      </c>
      <c r="AD1027" s="585"/>
      <c r="AE1027" s="188"/>
      <c r="AF1027" s="188"/>
      <c r="AG1027" s="1866"/>
      <c r="AH1027" s="1851"/>
      <c r="AO1027" s="13"/>
      <c r="AP1027" s="13"/>
    </row>
    <row r="1028" spans="1:42" ht="60.75" thickBot="1">
      <c r="A1028" s="187"/>
      <c r="B1028" s="189" t="s">
        <v>10</v>
      </c>
      <c r="C1028" s="1326" t="s">
        <v>11</v>
      </c>
      <c r="D1028" s="190" t="s">
        <v>12</v>
      </c>
      <c r="E1028" s="190" t="s">
        <v>13</v>
      </c>
      <c r="F1028" s="190" t="s">
        <v>14</v>
      </c>
      <c r="G1028" s="191" t="s">
        <v>15</v>
      </c>
      <c r="H1028" s="347" t="s">
        <v>1090</v>
      </c>
      <c r="I1028" s="347">
        <f>$C$20</f>
        <v>0.49</v>
      </c>
      <c r="J1028" s="873">
        <f>$C$20</f>
        <v>0.49</v>
      </c>
      <c r="K1028" s="548" t="s">
        <v>15</v>
      </c>
      <c r="L1028" s="423" t="s">
        <v>12</v>
      </c>
      <c r="M1028" s="196" t="s">
        <v>1091</v>
      </c>
      <c r="N1028" s="549" t="s">
        <v>993</v>
      </c>
      <c r="O1028" s="424" t="s">
        <v>1092</v>
      </c>
      <c r="P1028" s="199" t="s">
        <v>1092</v>
      </c>
      <c r="Q1028" s="200" t="s">
        <v>1093</v>
      </c>
      <c r="R1028" s="201" t="s">
        <v>1094</v>
      </c>
      <c r="S1028" s="350" t="s">
        <v>1095</v>
      </c>
      <c r="T1028" s="203" t="s">
        <v>1095</v>
      </c>
      <c r="U1028" s="204" t="s">
        <v>1096</v>
      </c>
      <c r="V1028" s="205" t="s">
        <v>1093</v>
      </c>
      <c r="W1028" s="206" t="s">
        <v>1094</v>
      </c>
      <c r="X1028" s="207" t="s">
        <v>1097</v>
      </c>
      <c r="Y1028" s="208">
        <v>0.49</v>
      </c>
      <c r="Z1028" s="207" t="s">
        <v>1098</v>
      </c>
      <c r="AA1028" s="209" t="s">
        <v>1099</v>
      </c>
      <c r="AB1028" s="209" t="s">
        <v>1100</v>
      </c>
      <c r="AC1028" s="210" t="s">
        <v>1092</v>
      </c>
      <c r="AD1028" s="211" t="s">
        <v>1101</v>
      </c>
      <c r="AE1028" s="212" t="s">
        <v>1102</v>
      </c>
      <c r="AF1028" s="208" t="s">
        <v>1103</v>
      </c>
      <c r="AG1028" s="1867" t="s">
        <v>1104</v>
      </c>
      <c r="AH1028" s="213" t="s">
        <v>1105</v>
      </c>
      <c r="AI1028" s="220" t="s">
        <v>1106</v>
      </c>
      <c r="AJ1028" s="483" t="s">
        <v>1107</v>
      </c>
      <c r="AK1028" s="484" t="s">
        <v>1108</v>
      </c>
      <c r="AL1028" s="221" t="s">
        <v>1109</v>
      </c>
      <c r="AM1028" s="221" t="s">
        <v>1175</v>
      </c>
      <c r="AN1028" s="221" t="s">
        <v>1176</v>
      </c>
      <c r="AO1028" s="13"/>
      <c r="AP1028" s="13"/>
    </row>
    <row r="1029" spans="1:42" ht="15.75">
      <c r="A1029" s="187"/>
      <c r="B1029" s="356" t="s">
        <v>268</v>
      </c>
      <c r="C1029" s="251" t="s">
        <v>190</v>
      </c>
      <c r="D1029" s="251">
        <v>15</v>
      </c>
      <c r="E1029" s="251">
        <v>50</v>
      </c>
      <c r="F1029" s="251">
        <v>1000</v>
      </c>
      <c r="G1029" s="328">
        <v>15.354932689849056</v>
      </c>
      <c r="H1029" s="357">
        <f t="shared" ref="H1029:H1034" si="627">G1029*(1+$H$33)</f>
        <v>16.429777978138493</v>
      </c>
      <c r="I1029" s="357">
        <f t="shared" ref="I1029:I1034" si="628">H1029-H1029*$J$833</f>
        <v>8.3791867688506319</v>
      </c>
      <c r="J1029" s="884">
        <f t="shared" ref="J1029:J1034" si="629">G1029-G1029*$J$833</f>
        <v>7.8310156718230184</v>
      </c>
      <c r="K1029" s="807">
        <v>30</v>
      </c>
      <c r="L1029" s="808">
        <v>28</v>
      </c>
      <c r="M1029" s="878">
        <f t="shared" ref="M1029:M1034" si="630">L1029/D1029*100%</f>
        <v>1.8666666666666667</v>
      </c>
      <c r="N1029" s="235">
        <f t="shared" ref="N1029:N1034" si="631">K1029-(K1029*$O$33)</f>
        <v>15</v>
      </c>
      <c r="O1029" s="1295">
        <f t="shared" ref="O1029:O1034" si="632">((N1029/J1029)-1)*100%</f>
        <v>0.91546034749641625</v>
      </c>
      <c r="P1029" s="856">
        <f t="shared" ref="P1029:P1034" si="633">((N1029/I1029)-1)*100%</f>
        <v>0.7901498574732857</v>
      </c>
      <c r="Q1029" s="234">
        <v>0.18</v>
      </c>
      <c r="R1029" s="235">
        <f t="shared" ref="R1029:R1034" si="634">Q1029*$R$33</f>
        <v>8.4659399999999998</v>
      </c>
      <c r="S1029" s="236">
        <f t="shared" ref="S1029:S1034" si="635">((J1029-R1029)/J1029)*100%</f>
        <v>-8.1078158285587301E-2</v>
      </c>
      <c r="T1029" s="237">
        <f t="shared" ref="T1029:T1034" si="636">((I1029-R1029)/I1029)*100%</f>
        <v>-1.0353418958492537E-2</v>
      </c>
      <c r="U1029" s="238">
        <v>0.15070500000000001</v>
      </c>
      <c r="V1029" s="239">
        <f t="shared" ref="V1029:V1034" si="637">U1029*$X$31</f>
        <v>0.18084600000000001</v>
      </c>
      <c r="W1029" s="239">
        <f t="shared" ref="W1029:W1034" si="638">V1029*$R$33</f>
        <v>8.5057299180000001</v>
      </c>
      <c r="X1029" s="240">
        <f>(ROUND(W1029/(1-$AA$1027),0))</f>
        <v>11</v>
      </c>
      <c r="Y1029" s="239">
        <f t="shared" ref="Y1029:Y1034" si="639">Z1029*(1-$X$33)</f>
        <v>10.71</v>
      </c>
      <c r="Z1029" s="240">
        <f t="shared" ref="Z1029:Z1034" si="640">ROUND(X1029/(1-$X$828),0)</f>
        <v>21</v>
      </c>
      <c r="AA1029" s="241">
        <f t="shared" ref="AA1029:AA1034" si="641">((X1029-W1029)/X1029)*100%</f>
        <v>0.22675182563636362</v>
      </c>
      <c r="AB1029" s="241">
        <f t="shared" ref="AB1029:AB1034" si="642">((Y1029-W1029)/Y1029)*100%</f>
        <v>0.20581420000000006</v>
      </c>
      <c r="AC1029" s="1198">
        <f t="shared" ref="AC1029:AC1034" si="643">((N1029/Y1029)-1)*100%</f>
        <v>0.40056022408963576</v>
      </c>
      <c r="AD1029" s="243">
        <f t="shared" ref="AD1029:AD1034" si="644">((N1029*0.96-W1029)/(N1029*0.96))*100%</f>
        <v>0.40932431124999996</v>
      </c>
      <c r="AE1029" s="238">
        <f t="shared" ref="AE1029:AE1034" si="645">N1029/$R$33</f>
        <v>0.31892501009929197</v>
      </c>
      <c r="AF1029" s="239">
        <f>(V1029/(1-$AA$1027))</f>
        <v>0.23185384615384616</v>
      </c>
      <c r="AG1029" s="1868">
        <v>0.44</v>
      </c>
      <c r="AH1029" s="244">
        <f t="shared" ref="AH1029:AH1034" si="646">((AF1029-V1029)/AF1029)*100%</f>
        <v>0.22</v>
      </c>
      <c r="AI1029" s="92">
        <f t="shared" ref="AI1029:AI1034" si="647">AJ1029/$AJ$1035</f>
        <v>0.7539936102236422</v>
      </c>
      <c r="AJ1029" s="338">
        <f>[1]Статистика!D274</f>
        <v>52392</v>
      </c>
      <c r="AK1029" s="297">
        <f t="shared" ref="AK1029:AK1034" si="648">Q1029*S1029*AJ1029</f>
        <v>-764.61243640172813</v>
      </c>
      <c r="AL1029" s="866">
        <f t="shared" ref="AL1029:AL1034" si="649">AK1029/$AK$1035</f>
        <v>0.66095628138852125</v>
      </c>
      <c r="AM1029" s="92">
        <f t="shared" ref="AM1029:AM1034" si="650">AJ1029/$AJ$1101</f>
        <v>7.0404687195543936E-2</v>
      </c>
      <c r="AN1029" s="92">
        <f t="shared" ref="AN1029:AN1034" si="651">AK1029/$AK$1101</f>
        <v>1.0028186417429618E-2</v>
      </c>
      <c r="AO1029" s="13"/>
      <c r="AP1029" s="13"/>
    </row>
    <row r="1030" spans="1:42" ht="15.75">
      <c r="A1030" s="271"/>
      <c r="B1030" s="356" t="s">
        <v>269</v>
      </c>
      <c r="C1030" s="251" t="s">
        <v>192</v>
      </c>
      <c r="D1030" s="251">
        <v>32</v>
      </c>
      <c r="E1030" s="251">
        <v>30</v>
      </c>
      <c r="F1030" s="251">
        <v>600</v>
      </c>
      <c r="G1030" s="328">
        <v>32.437295307306137</v>
      </c>
      <c r="H1030" s="357">
        <f t="shared" si="627"/>
        <v>34.707905978817571</v>
      </c>
      <c r="I1030" s="357">
        <f t="shared" si="628"/>
        <v>17.701032049196961</v>
      </c>
      <c r="J1030" s="884">
        <f t="shared" si="629"/>
        <v>16.543020606726131</v>
      </c>
      <c r="K1030" s="254">
        <v>51</v>
      </c>
      <c r="L1030" s="322">
        <v>43</v>
      </c>
      <c r="M1030" s="335">
        <f t="shared" si="630"/>
        <v>1.34375</v>
      </c>
      <c r="N1030" s="382">
        <f t="shared" si="631"/>
        <v>25.5</v>
      </c>
      <c r="O1030" s="329">
        <f t="shared" si="632"/>
        <v>0.54143554591427523</v>
      </c>
      <c r="P1030" s="861">
        <f t="shared" si="633"/>
        <v>0.44059396814418239</v>
      </c>
      <c r="Q1030" s="257">
        <v>0.35</v>
      </c>
      <c r="R1030" s="258">
        <f t="shared" si="634"/>
        <v>16.461549999999999</v>
      </c>
      <c r="S1030" s="259">
        <f t="shared" si="635"/>
        <v>4.9247721237200941E-3</v>
      </c>
      <c r="T1030" s="260">
        <f t="shared" si="636"/>
        <v>7.0023151517495455E-2</v>
      </c>
      <c r="U1030" s="261">
        <v>0.29155999999999999</v>
      </c>
      <c r="V1030" s="239">
        <f t="shared" si="637"/>
        <v>0.34987199999999996</v>
      </c>
      <c r="W1030" s="262">
        <f t="shared" si="638"/>
        <v>16.455529775999999</v>
      </c>
      <c r="X1030" s="240">
        <f>(ROUND(W1030/(1-$AA$1027),0))</f>
        <v>21</v>
      </c>
      <c r="Y1030" s="239">
        <f t="shared" si="639"/>
        <v>20.399999999999999</v>
      </c>
      <c r="Z1030" s="240">
        <f t="shared" si="640"/>
        <v>40</v>
      </c>
      <c r="AA1030" s="264">
        <f t="shared" si="641"/>
        <v>0.21640334400000005</v>
      </c>
      <c r="AB1030" s="241">
        <f t="shared" si="642"/>
        <v>0.19335638352941176</v>
      </c>
      <c r="AC1030" s="1198">
        <f t="shared" si="643"/>
        <v>0.25</v>
      </c>
      <c r="AD1030" s="266">
        <f t="shared" si="644"/>
        <v>0.32779698627450987</v>
      </c>
      <c r="AE1030" s="261">
        <f t="shared" si="645"/>
        <v>0.54217251716879633</v>
      </c>
      <c r="AF1030" s="239">
        <f>(V1030/(1-$AA$1027))</f>
        <v>0.44855384615384608</v>
      </c>
      <c r="AG1030" s="1868">
        <v>0.85</v>
      </c>
      <c r="AH1030" s="267">
        <f t="shared" si="646"/>
        <v>0.21999999999999997</v>
      </c>
      <c r="AI1030" s="77">
        <f t="shared" si="647"/>
        <v>0.15299484788302681</v>
      </c>
      <c r="AJ1030" s="333">
        <f>[1]Статистика!D275</f>
        <v>10631</v>
      </c>
      <c r="AK1030" s="270">
        <f t="shared" si="648"/>
        <v>18.324338356543912</v>
      </c>
      <c r="AL1030" s="506">
        <f t="shared" si="649"/>
        <v>-1.5840164196182224E-2</v>
      </c>
      <c r="AM1030" s="77">
        <f t="shared" si="650"/>
        <v>1.4286002244156123E-2</v>
      </c>
      <c r="AN1030" s="77">
        <f t="shared" si="651"/>
        <v>-2.4033075093606062E-4</v>
      </c>
      <c r="AO1030" s="13"/>
      <c r="AP1030" s="13"/>
    </row>
    <row r="1031" spans="1:42" ht="15.75">
      <c r="A1031" s="187"/>
      <c r="B1031" s="356" t="s">
        <v>270</v>
      </c>
      <c r="C1031" s="251" t="s">
        <v>194</v>
      </c>
      <c r="D1031" s="251">
        <v>56</v>
      </c>
      <c r="E1031" s="251">
        <v>10</v>
      </c>
      <c r="F1031" s="251">
        <v>250</v>
      </c>
      <c r="G1031" s="328">
        <v>56.813250952441507</v>
      </c>
      <c r="H1031" s="357">
        <f t="shared" si="627"/>
        <v>60.790178519112416</v>
      </c>
      <c r="I1031" s="357">
        <f t="shared" si="628"/>
        <v>31.002991044747333</v>
      </c>
      <c r="J1031" s="884">
        <f t="shared" si="629"/>
        <v>28.974757985745168</v>
      </c>
      <c r="K1031" s="254">
        <v>69</v>
      </c>
      <c r="L1031" s="322">
        <v>75</v>
      </c>
      <c r="M1031" s="335">
        <f t="shared" si="630"/>
        <v>1.3392857142857142</v>
      </c>
      <c r="N1031" s="382">
        <f t="shared" si="631"/>
        <v>34.5</v>
      </c>
      <c r="O1031" s="324">
        <f t="shared" si="632"/>
        <v>0.19069156736263704</v>
      </c>
      <c r="P1031" s="1658">
        <f t="shared" si="633"/>
        <v>0.11279585734825881</v>
      </c>
      <c r="Q1031" s="273">
        <v>0.63854866388820786</v>
      </c>
      <c r="R1031" s="258">
        <f t="shared" si="634"/>
        <v>30.032859308654082</v>
      </c>
      <c r="S1031" s="259">
        <f t="shared" si="635"/>
        <v>-3.6518038336315804E-2</v>
      </c>
      <c r="T1031" s="260">
        <f t="shared" si="636"/>
        <v>3.1291552956714312E-2</v>
      </c>
      <c r="U1031" s="261">
        <v>0.52697499999999997</v>
      </c>
      <c r="V1031" s="239">
        <f t="shared" si="637"/>
        <v>0.63236999999999999</v>
      </c>
      <c r="W1031" s="262">
        <f t="shared" si="638"/>
        <v>29.742258209999999</v>
      </c>
      <c r="X1031" s="240">
        <f>(ROUND(W1031/(1-$AB$1027),0))</f>
        <v>36</v>
      </c>
      <c r="Y1031" s="239">
        <f t="shared" si="639"/>
        <v>34.68</v>
      </c>
      <c r="Z1031" s="240">
        <f t="shared" si="640"/>
        <v>68</v>
      </c>
      <c r="AA1031" s="264">
        <f t="shared" si="641"/>
        <v>0.17382616083333335</v>
      </c>
      <c r="AB1031" s="241">
        <f t="shared" si="642"/>
        <v>0.14238009775086508</v>
      </c>
      <c r="AC1031" s="1198">
        <f t="shared" si="643"/>
        <v>-5.1903114186850896E-3</v>
      </c>
      <c r="AD1031" s="266">
        <f t="shared" si="644"/>
        <v>0.10198495742753619</v>
      </c>
      <c r="AE1031" s="261">
        <f t="shared" si="645"/>
        <v>0.73352752322837156</v>
      </c>
      <c r="AF1031" s="239">
        <f>(V1031/(1-$AB$1027))</f>
        <v>0.76189156626506027</v>
      </c>
      <c r="AG1031" s="1868">
        <v>1.44</v>
      </c>
      <c r="AH1031" s="267">
        <f t="shared" si="646"/>
        <v>0.17000000000000004</v>
      </c>
      <c r="AI1031" s="77">
        <f t="shared" si="647"/>
        <v>7.5209394698212584E-2</v>
      </c>
      <c r="AJ1031" s="333">
        <f>[1]Статистика!D276</f>
        <v>5226</v>
      </c>
      <c r="AK1031" s="270">
        <f t="shared" si="648"/>
        <v>-121.86271401413291</v>
      </c>
      <c r="AL1031" s="506">
        <f t="shared" si="649"/>
        <v>0.10534216089100494</v>
      </c>
      <c r="AM1031" s="77">
        <f t="shared" si="650"/>
        <v>7.0227304795371934E-3</v>
      </c>
      <c r="AN1031" s="77">
        <f t="shared" si="651"/>
        <v>1.5982764015959124E-3</v>
      </c>
      <c r="AO1031" s="13"/>
      <c r="AP1031" s="13"/>
    </row>
    <row r="1032" spans="1:42" ht="15.75">
      <c r="A1032" s="187"/>
      <c r="B1032" s="356" t="s">
        <v>1440</v>
      </c>
      <c r="C1032" s="251" t="s">
        <v>209</v>
      </c>
      <c r="D1032" s="251">
        <v>106</v>
      </c>
      <c r="E1032" s="251">
        <v>10</v>
      </c>
      <c r="F1032" s="251">
        <v>100</v>
      </c>
      <c r="G1032" s="328">
        <v>103.77445783132531</v>
      </c>
      <c r="H1032" s="357">
        <f t="shared" si="627"/>
        <v>111.03866987951808</v>
      </c>
      <c r="I1032" s="357">
        <f t="shared" si="628"/>
        <v>56.629721638554223</v>
      </c>
      <c r="J1032" s="884">
        <f t="shared" si="629"/>
        <v>52.924973493975905</v>
      </c>
      <c r="K1032" s="254">
        <v>145</v>
      </c>
      <c r="L1032" s="322">
        <v>150</v>
      </c>
      <c r="M1032" s="385">
        <f t="shared" si="630"/>
        <v>1.4150943396226414</v>
      </c>
      <c r="N1032" s="382">
        <f t="shared" si="631"/>
        <v>72.5</v>
      </c>
      <c r="O1032" s="329">
        <f t="shared" si="632"/>
        <v>0.36986369975701905</v>
      </c>
      <c r="P1032" s="861">
        <f t="shared" si="633"/>
        <v>0.28024644837104562</v>
      </c>
      <c r="Q1032" s="257">
        <v>1.2457478772044415</v>
      </c>
      <c r="R1032" s="258">
        <f t="shared" si="634"/>
        <v>58.591259908556495</v>
      </c>
      <c r="S1032" s="259">
        <f t="shared" si="635"/>
        <v>-0.10706262167945242</v>
      </c>
      <c r="T1032" s="260">
        <f t="shared" si="636"/>
        <v>-3.4637964186404059E-2</v>
      </c>
      <c r="U1032" s="261">
        <v>1.0224299999999999</v>
      </c>
      <c r="V1032" s="239">
        <f t="shared" si="637"/>
        <v>1.2269159999999999</v>
      </c>
      <c r="W1032" s="262">
        <f t="shared" si="638"/>
        <v>57.705540227999997</v>
      </c>
      <c r="X1032" s="240">
        <f>(ROUND(W1032/(1-$AB$1027),0))</f>
        <v>70</v>
      </c>
      <c r="Y1032" s="239">
        <f t="shared" si="639"/>
        <v>67.320000000000007</v>
      </c>
      <c r="Z1032" s="240">
        <f t="shared" si="640"/>
        <v>132</v>
      </c>
      <c r="AA1032" s="264">
        <f t="shared" si="641"/>
        <v>0.17563513960000005</v>
      </c>
      <c r="AB1032" s="241">
        <f t="shared" si="642"/>
        <v>0.14281728716577555</v>
      </c>
      <c r="AC1032" s="1198">
        <f t="shared" si="643"/>
        <v>7.6945929887106246E-2</v>
      </c>
      <c r="AD1032" s="266">
        <f t="shared" si="644"/>
        <v>0.17089741051724136</v>
      </c>
      <c r="AE1032" s="261">
        <f t="shared" si="645"/>
        <v>1.5414708821465779</v>
      </c>
      <c r="AF1032" s="239">
        <f>(V1032/(1-$AB$1027))</f>
        <v>1.478212048192771</v>
      </c>
      <c r="AG1032" s="1868">
        <v>2.79</v>
      </c>
      <c r="AH1032" s="267">
        <f t="shared" si="646"/>
        <v>0.17</v>
      </c>
      <c r="AI1032" s="77">
        <f t="shared" si="647"/>
        <v>8.2174826583772276E-3</v>
      </c>
      <c r="AJ1032" s="333">
        <f>[1]Статистика!D277</f>
        <v>571</v>
      </c>
      <c r="AK1032" s="270">
        <f t="shared" si="648"/>
        <v>-76.156002234203555</v>
      </c>
      <c r="AL1032" s="506">
        <f t="shared" si="649"/>
        <v>6.5831767370951616E-2</v>
      </c>
      <c r="AM1032" s="77">
        <f t="shared" si="650"/>
        <v>7.6731326135012193E-4</v>
      </c>
      <c r="AN1032" s="77">
        <f t="shared" si="651"/>
        <v>9.9881528321039167E-4</v>
      </c>
      <c r="AO1032" s="13"/>
      <c r="AP1032" s="13"/>
    </row>
    <row r="1033" spans="1:42" ht="15.75">
      <c r="A1033" s="187"/>
      <c r="B1033" s="1602" t="s">
        <v>1441</v>
      </c>
      <c r="C1033" s="926" t="s">
        <v>1350</v>
      </c>
      <c r="D1033" s="926">
        <v>173</v>
      </c>
      <c r="E1033" s="926">
        <v>8</v>
      </c>
      <c r="F1033" s="926">
        <v>80</v>
      </c>
      <c r="G1033" s="433">
        <v>162</v>
      </c>
      <c r="H1033" s="357">
        <f t="shared" si="627"/>
        <v>173.34</v>
      </c>
      <c r="I1033" s="357">
        <f t="shared" si="628"/>
        <v>88.403400000000005</v>
      </c>
      <c r="J1033" s="927">
        <f t="shared" si="629"/>
        <v>82.62</v>
      </c>
      <c r="K1033" s="928">
        <v>205</v>
      </c>
      <c r="L1033" s="929">
        <v>163</v>
      </c>
      <c r="M1033" s="495">
        <f t="shared" si="630"/>
        <v>0.94219653179190754</v>
      </c>
      <c r="N1033" s="496">
        <f t="shared" si="631"/>
        <v>102.5</v>
      </c>
      <c r="O1033" s="932">
        <f t="shared" si="632"/>
        <v>0.24061970467199223</v>
      </c>
      <c r="P1033" s="861">
        <f t="shared" si="633"/>
        <v>0.15945766791774973</v>
      </c>
      <c r="Q1033" s="1570">
        <v>2.0273062730627305</v>
      </c>
      <c r="R1033" s="650">
        <f t="shared" si="634"/>
        <v>95.350295940959398</v>
      </c>
      <c r="S1033" s="933">
        <f t="shared" si="635"/>
        <v>-0.15408249746985467</v>
      </c>
      <c r="T1033" s="260">
        <f t="shared" si="636"/>
        <v>-7.8581773336312777E-2</v>
      </c>
      <c r="U1033" s="261">
        <v>1.665635</v>
      </c>
      <c r="V1033" s="239">
        <f t="shared" si="637"/>
        <v>1.9987619999999999</v>
      </c>
      <c r="W1033" s="262">
        <f t="shared" si="638"/>
        <v>94.007773146000005</v>
      </c>
      <c r="X1033" s="240">
        <f>(ROUND(W1033/(1-$AC$1027),0))</f>
        <v>107</v>
      </c>
      <c r="Y1033" s="239">
        <f t="shared" si="639"/>
        <v>103.02</v>
      </c>
      <c r="Z1033" s="240">
        <f t="shared" si="640"/>
        <v>202</v>
      </c>
      <c r="AA1033" s="264">
        <f t="shared" si="641"/>
        <v>0.12142268087850462</v>
      </c>
      <c r="AB1033" s="241">
        <f t="shared" si="642"/>
        <v>8.7480361619102998E-2</v>
      </c>
      <c r="AC1033" s="1198">
        <f t="shared" si="643"/>
        <v>-5.0475635798873375E-3</v>
      </c>
      <c r="AD1033" s="266">
        <f t="shared" si="644"/>
        <v>4.4636451768292548E-2</v>
      </c>
      <c r="AE1033" s="261">
        <f t="shared" si="645"/>
        <v>2.1793209023451618</v>
      </c>
      <c r="AF1033" s="239">
        <f>(V1033/(1-$AC$1027))</f>
        <v>2.2713204545454544</v>
      </c>
      <c r="AG1033" s="1868">
        <v>4.29</v>
      </c>
      <c r="AH1033" s="267">
        <f t="shared" si="646"/>
        <v>0.11999999999999997</v>
      </c>
      <c r="AI1033" s="77">
        <f t="shared" si="647"/>
        <v>4.51889589269781E-3</v>
      </c>
      <c r="AJ1033" s="333">
        <f>[1]Статистика!D278</f>
        <v>314</v>
      </c>
      <c r="AK1033" s="270">
        <f t="shared" si="648"/>
        <v>-98.084937898599918</v>
      </c>
      <c r="AL1033" s="506">
        <f t="shared" si="649"/>
        <v>8.4787864710613961E-2</v>
      </c>
      <c r="AM1033" s="77">
        <f t="shared" si="650"/>
        <v>4.2195510343947162E-4</v>
      </c>
      <c r="AN1033" s="77">
        <f t="shared" si="651"/>
        <v>1.2864217153177135E-3</v>
      </c>
      <c r="AO1033" s="13"/>
      <c r="AP1033" s="13"/>
    </row>
    <row r="1034" spans="1:42" ht="16.5" thickBot="1">
      <c r="A1034" s="187"/>
      <c r="B1034" s="359" t="s">
        <v>1442</v>
      </c>
      <c r="C1034" s="276" t="s">
        <v>1392</v>
      </c>
      <c r="D1034" s="276">
        <v>262</v>
      </c>
      <c r="E1034" s="276">
        <v>6</v>
      </c>
      <c r="F1034" s="276">
        <v>60</v>
      </c>
      <c r="G1034" s="339">
        <v>256.14824096385541</v>
      </c>
      <c r="H1034" s="360">
        <f t="shared" si="627"/>
        <v>274.07861783132529</v>
      </c>
      <c r="I1034" s="360">
        <f t="shared" si="628"/>
        <v>139.78009509397589</v>
      </c>
      <c r="J1034" s="887">
        <f t="shared" si="629"/>
        <v>130.63560289156626</v>
      </c>
      <c r="K1034" s="279">
        <v>342</v>
      </c>
      <c r="L1034" s="341">
        <v>288</v>
      </c>
      <c r="M1034" s="896">
        <f t="shared" si="630"/>
        <v>1.0992366412213741</v>
      </c>
      <c r="N1034" s="390">
        <f t="shared" si="631"/>
        <v>171</v>
      </c>
      <c r="O1034" s="363">
        <f t="shared" si="632"/>
        <v>0.30898465820177745</v>
      </c>
      <c r="P1034" s="868">
        <f t="shared" si="633"/>
        <v>0.2233501478521287</v>
      </c>
      <c r="Q1034" s="257">
        <v>3.0715158546017012</v>
      </c>
      <c r="R1034" s="258">
        <f t="shared" si="634"/>
        <v>144.46260518948182</v>
      </c>
      <c r="S1034" s="259">
        <f t="shared" si="635"/>
        <v>-0.10584405775960343</v>
      </c>
      <c r="T1034" s="287">
        <f t="shared" si="636"/>
        <v>-3.3499119401498641E-2</v>
      </c>
      <c r="U1034" s="261">
        <v>2.5235699999999999</v>
      </c>
      <c r="V1034" s="239">
        <f t="shared" si="637"/>
        <v>3.0282839999999998</v>
      </c>
      <c r="W1034" s="289">
        <f t="shared" si="638"/>
        <v>142.42928137199999</v>
      </c>
      <c r="X1034" s="240">
        <f>(ROUND(W1034/(1-$AB$1027),0))</f>
        <v>172</v>
      </c>
      <c r="Y1034" s="291">
        <f t="shared" si="639"/>
        <v>165.75</v>
      </c>
      <c r="Z1034" s="240">
        <f t="shared" si="640"/>
        <v>325</v>
      </c>
      <c r="AA1034" s="292">
        <f t="shared" si="641"/>
        <v>0.17192278272093028</v>
      </c>
      <c r="AB1034" s="241">
        <f t="shared" si="642"/>
        <v>0.14069815160181001</v>
      </c>
      <c r="AC1034" s="1707">
        <f t="shared" si="643"/>
        <v>3.167420814479649E-2</v>
      </c>
      <c r="AD1034" s="294">
        <f t="shared" si="644"/>
        <v>0.13237523530701759</v>
      </c>
      <c r="AE1034" s="288">
        <f t="shared" si="645"/>
        <v>3.6357451151319284</v>
      </c>
      <c r="AF1034" s="239">
        <f>(V1034/(1-$AC$1018))</f>
        <v>3.441231818181818</v>
      </c>
      <c r="AG1034" s="1868">
        <v>6.49</v>
      </c>
      <c r="AH1034" s="295">
        <f t="shared" si="646"/>
        <v>0.12000000000000002</v>
      </c>
      <c r="AI1034" s="77">
        <f t="shared" si="647"/>
        <v>5.0657686440434046E-3</v>
      </c>
      <c r="AJ1034" s="333">
        <f>[1]Статистика!D279</f>
        <v>352</v>
      </c>
      <c r="AK1034" s="270">
        <f t="shared" si="648"/>
        <v>-114.43579893644805</v>
      </c>
      <c r="AL1034" s="506">
        <f t="shared" si="649"/>
        <v>9.8922089835090543E-2</v>
      </c>
      <c r="AM1034" s="77">
        <f t="shared" si="650"/>
        <v>4.7301973379201915E-4</v>
      </c>
      <c r="AN1034" s="77">
        <f t="shared" si="651"/>
        <v>1.500869551589733E-3</v>
      </c>
      <c r="AO1034" s="13"/>
      <c r="AP1034" s="13"/>
    </row>
    <row r="1035" spans="1:42" ht="19.5" thickBot="1">
      <c r="A1035" s="187"/>
      <c r="B1035" s="413"/>
      <c r="C1035" s="414"/>
      <c r="D1035" s="414"/>
      <c r="E1035" s="414"/>
      <c r="F1035" s="414"/>
      <c r="G1035" s="827"/>
      <c r="H1035" s="785"/>
      <c r="I1035" s="785"/>
      <c r="J1035" s="897"/>
      <c r="K1035" s="533"/>
      <c r="P1035" s="1607" t="s">
        <v>973</v>
      </c>
      <c r="Q1035" s="1091"/>
      <c r="R1035" s="1092"/>
      <c r="S1035" s="364"/>
      <c r="T1035" s="364"/>
      <c r="U1035" s="872"/>
      <c r="V1035" s="872"/>
      <c r="W1035" s="872"/>
      <c r="X1035" s="872"/>
      <c r="Y1035" s="872"/>
      <c r="Z1035" s="872"/>
      <c r="AA1035" s="364"/>
      <c r="AB1035" s="364"/>
      <c r="AC1035" s="364"/>
      <c r="AD1035" s="364">
        <f>AVERAGE(AD1029:AD1034)</f>
        <v>0.19783589209076624</v>
      </c>
      <c r="AE1035" s="872"/>
      <c r="AF1035" s="872"/>
      <c r="AG1035" s="1882"/>
      <c r="AH1035" s="364"/>
      <c r="AI1035" s="512">
        <f>S1029*AI1029+S1030*AI1030+S1031*AI1031+S1032*AI1032+S1033*AI1033+S1034*AI1034</f>
        <v>-6.5237697583868562E-2</v>
      </c>
      <c r="AJ1035" s="513">
        <f>SUM(AJ1029:AJ1034)</f>
        <v>69486</v>
      </c>
      <c r="AK1035" s="514">
        <f>SUM(AK1029:AK1034)</f>
        <v>-1156.8275511285685</v>
      </c>
      <c r="AM1035" s="307">
        <f>SUM(AM1029:AM1034)</f>
        <v>9.3375708017818859E-2</v>
      </c>
      <c r="AN1035" s="307">
        <f>SUM(AN1029:AN1034)</f>
        <v>1.5172238618207308E-2</v>
      </c>
      <c r="AO1035" s="13"/>
      <c r="AP1035" s="13"/>
    </row>
    <row r="1036" spans="1:42">
      <c r="A1036" s="2311"/>
      <c r="B1036" s="2311"/>
      <c r="C1036" s="2311"/>
      <c r="D1036" s="2311"/>
      <c r="E1036" s="2311"/>
      <c r="F1036" s="2311"/>
      <c r="G1036" s="2311"/>
      <c r="H1036" s="2311"/>
      <c r="I1036" s="2311"/>
      <c r="J1036" s="2311"/>
      <c r="K1036" s="533"/>
      <c r="AO1036" s="13"/>
      <c r="AP1036" s="13"/>
    </row>
    <row r="1037" spans="1:42">
      <c r="A1037" s="149" t="s">
        <v>1443</v>
      </c>
      <c r="B1037" s="413"/>
      <c r="C1037" s="157" t="s">
        <v>45</v>
      </c>
      <c r="J1037" s="532"/>
      <c r="K1037" s="533"/>
      <c r="AO1037" s="13"/>
      <c r="AP1037" s="13"/>
    </row>
    <row r="1038" spans="1:42" ht="15.75" thickBot="1">
      <c r="A1038" s="187"/>
      <c r="B1038" s="157"/>
      <c r="C1038" s="148" t="s">
        <v>25</v>
      </c>
      <c r="F1038" s="158" t="s">
        <v>1077</v>
      </c>
      <c r="G1038" s="158"/>
      <c r="H1038" s="159"/>
      <c r="I1038" s="160"/>
      <c r="J1038" s="541"/>
      <c r="K1038" s="2309" t="s">
        <v>1444</v>
      </c>
      <c r="L1038" s="2309"/>
      <c r="M1038" s="2309"/>
      <c r="N1038" s="2309"/>
      <c r="O1038" s="2309"/>
      <c r="P1038" s="1852"/>
      <c r="T1038" s="1851"/>
      <c r="U1038" s="309"/>
      <c r="V1038" s="309"/>
      <c r="W1038" s="309"/>
      <c r="X1038" s="309"/>
      <c r="Y1038" s="309"/>
      <c r="Z1038" s="309"/>
      <c r="AA1038" s="346">
        <v>0.19</v>
      </c>
      <c r="AB1038" s="628">
        <v>0.12</v>
      </c>
      <c r="AC1038" s="628">
        <v>0.09</v>
      </c>
      <c r="AD1038" s="585"/>
      <c r="AE1038" s="188"/>
      <c r="AF1038" s="188"/>
      <c r="AG1038" s="1866"/>
      <c r="AH1038" s="1851"/>
      <c r="AO1038" s="13"/>
      <c r="AP1038" s="13"/>
    </row>
    <row r="1039" spans="1:42" ht="60.75" thickBot="1">
      <c r="A1039" s="187"/>
      <c r="B1039" s="189" t="s">
        <v>10</v>
      </c>
      <c r="C1039" s="1326" t="s">
        <v>11</v>
      </c>
      <c r="D1039" s="190" t="s">
        <v>12</v>
      </c>
      <c r="E1039" s="190" t="s">
        <v>13</v>
      </c>
      <c r="F1039" s="190" t="s">
        <v>14</v>
      </c>
      <c r="G1039" s="191" t="s">
        <v>15</v>
      </c>
      <c r="H1039" s="347" t="s">
        <v>1090</v>
      </c>
      <c r="I1039" s="347">
        <f>$C$20</f>
        <v>0.49</v>
      </c>
      <c r="J1039" s="873">
        <f>$C$20</f>
        <v>0.49</v>
      </c>
      <c r="K1039" s="601" t="s">
        <v>15</v>
      </c>
      <c r="L1039" s="315" t="s">
        <v>12</v>
      </c>
      <c r="M1039" s="316" t="s">
        <v>1091</v>
      </c>
      <c r="N1039" s="605" t="s">
        <v>993</v>
      </c>
      <c r="O1039" s="317" t="s">
        <v>1092</v>
      </c>
      <c r="P1039" s="1375" t="s">
        <v>1092</v>
      </c>
      <c r="Q1039" s="875" t="s">
        <v>1093</v>
      </c>
      <c r="R1039" s="876" t="s">
        <v>1094</v>
      </c>
      <c r="S1039" s="1126" t="s">
        <v>1095</v>
      </c>
      <c r="T1039" s="1708" t="s">
        <v>1095</v>
      </c>
      <c r="U1039" s="204" t="s">
        <v>1096</v>
      </c>
      <c r="V1039" s="205" t="s">
        <v>1093</v>
      </c>
      <c r="W1039" s="206" t="s">
        <v>1094</v>
      </c>
      <c r="X1039" s="207" t="s">
        <v>1097</v>
      </c>
      <c r="Y1039" s="208">
        <v>0.49</v>
      </c>
      <c r="Z1039" s="207" t="s">
        <v>1098</v>
      </c>
      <c r="AA1039" s="209" t="s">
        <v>1099</v>
      </c>
      <c r="AB1039" s="209" t="s">
        <v>1100</v>
      </c>
      <c r="AC1039" s="210" t="s">
        <v>1092</v>
      </c>
      <c r="AD1039" s="211" t="s">
        <v>1101</v>
      </c>
      <c r="AE1039" s="212" t="s">
        <v>1102</v>
      </c>
      <c r="AF1039" s="208" t="s">
        <v>1103</v>
      </c>
      <c r="AG1039" s="1867" t="s">
        <v>1104</v>
      </c>
      <c r="AH1039" s="213" t="s">
        <v>1105</v>
      </c>
      <c r="AI1039" s="220" t="s">
        <v>1106</v>
      </c>
      <c r="AJ1039" s="483" t="s">
        <v>1107</v>
      </c>
      <c r="AK1039" s="484" t="s">
        <v>1108</v>
      </c>
      <c r="AL1039" s="221" t="s">
        <v>1109</v>
      </c>
      <c r="AM1039" s="221" t="s">
        <v>1175</v>
      </c>
      <c r="AN1039" s="221" t="s">
        <v>1176</v>
      </c>
      <c r="AO1039" s="13"/>
      <c r="AP1039" s="13"/>
    </row>
    <row r="1040" spans="1:42" ht="15.75">
      <c r="A1040" s="187"/>
      <c r="B1040" s="1423" t="s">
        <v>907</v>
      </c>
      <c r="C1040" s="1424" t="s">
        <v>891</v>
      </c>
      <c r="D1040" s="1101">
        <v>26</v>
      </c>
      <c r="E1040" s="1101">
        <v>20</v>
      </c>
      <c r="F1040" s="223">
        <v>800</v>
      </c>
      <c r="G1040" s="1691">
        <v>27</v>
      </c>
      <c r="H1040" s="1709">
        <v>29</v>
      </c>
      <c r="I1040" s="1378">
        <f t="shared" ref="I1040:I1047" si="652">H1040-H1040*$J$833</f>
        <v>14.790000000000001</v>
      </c>
      <c r="J1040" s="1045">
        <f t="shared" ref="J1040:J1047" si="653">G1040-G1040*$J$833</f>
        <v>13.77</v>
      </c>
      <c r="K1040" s="912">
        <v>32</v>
      </c>
      <c r="L1040" s="1710">
        <v>61</v>
      </c>
      <c r="M1040" s="336">
        <f t="shared" ref="M1040:M1047" si="654">L1040/D1040*100%</f>
        <v>2.3461538461538463</v>
      </c>
      <c r="N1040" s="382">
        <f t="shared" ref="N1040:N1047" si="655">K1040-(K1040*$O$33)</f>
        <v>16</v>
      </c>
      <c r="O1040" s="469">
        <f t="shared" ref="O1040:O1047" si="656">((N1040/J1040)-1)*100%</f>
        <v>0.16194625998547574</v>
      </c>
      <c r="P1040" s="472">
        <f t="shared" ref="P1040:P1047" si="657">((N1040/I1040)-1)*100%</f>
        <v>8.1812035158891128E-2</v>
      </c>
      <c r="Q1040" s="336">
        <v>0.31319999999999998</v>
      </c>
      <c r="R1040" s="382">
        <f t="shared" ref="R1040:R1047" si="658">Q1040*$R$33</f>
        <v>14.730735599999999</v>
      </c>
      <c r="S1040" s="918">
        <f t="shared" ref="S1040:S1047" si="659">((J1040-R1040)/J1040)*100%</f>
        <v>-6.9770196078431337E-2</v>
      </c>
      <c r="T1040" s="358">
        <f t="shared" ref="T1040:T1047" si="660">((I1040-R1040)/I1040)*100%</f>
        <v>4.007058823529531E-3</v>
      </c>
      <c r="U1040" s="1711">
        <v>0.26100000000000001</v>
      </c>
      <c r="V1040" s="1712">
        <f t="shared" ref="V1040:V1047" si="661">U1040*$X$31</f>
        <v>0.31319999999999998</v>
      </c>
      <c r="W1040" s="1712">
        <f t="shared" ref="W1040:W1047" si="662">V1040*$R$33</f>
        <v>14.730735599999999</v>
      </c>
      <c r="X1040" s="1713">
        <f>(ROUND(W1040/(1-$AC$1038),0))</f>
        <v>16</v>
      </c>
      <c r="Y1040" s="1712">
        <f t="shared" ref="Y1040:Y1047" si="663">Z1040*(1-$X$33)</f>
        <v>15.3</v>
      </c>
      <c r="Z1040" s="1713">
        <f t="shared" ref="Z1040:Z1047" si="664">ROUND(X1040/(1-$X$828),0)</f>
        <v>30</v>
      </c>
      <c r="AA1040" s="1714">
        <f t="shared" ref="AA1040:AA1047" si="665">((X1040-W1040)/X1040)*100%</f>
        <v>7.9329025000000053E-2</v>
      </c>
      <c r="AB1040" s="1714">
        <f t="shared" ref="AB1040:AB1047" si="666">((Y1040-W1040)/Y1040)*100%</f>
        <v>3.7206823529411862E-2</v>
      </c>
      <c r="AC1040" s="1715">
        <f t="shared" ref="AC1040:AC1047" si="667">((N1040/Y1040)-1)*100%</f>
        <v>4.5751633986928164E-2</v>
      </c>
      <c r="AD1040" s="1716">
        <f t="shared" ref="AD1040:AD1047" si="668">((N1040*0.96-W1040)/(N1040*0.96))*100%</f>
        <v>4.0967734375000023E-2</v>
      </c>
      <c r="AE1040" s="1717">
        <f t="shared" ref="AE1040:AE1047" si="669">N1040/$R$33</f>
        <v>0.3401866774392448</v>
      </c>
      <c r="AF1040" s="1712">
        <f>(V1040/(1-$AC$1038))</f>
        <v>0.34417582417582415</v>
      </c>
      <c r="AG1040" s="1900">
        <v>0.65</v>
      </c>
      <c r="AH1040" s="1718">
        <f t="shared" ref="AH1040:AH1047" si="670">((AF1040-V1040)/AF1040)*100%</f>
        <v>0.09</v>
      </c>
      <c r="AI1040" s="1366"/>
      <c r="AJ1040" s="1367"/>
      <c r="AK1040" s="1368"/>
      <c r="AL1040" s="1369"/>
      <c r="AM1040" s="1369"/>
      <c r="AN1040" s="1369"/>
      <c r="AO1040" s="13"/>
      <c r="AP1040" s="13"/>
    </row>
    <row r="1041" spans="1:42" ht="15.75">
      <c r="A1041" s="187"/>
      <c r="B1041" s="1703" t="s">
        <v>908</v>
      </c>
      <c r="C1041" s="1393" t="s">
        <v>892</v>
      </c>
      <c r="D1041" s="450">
        <v>25</v>
      </c>
      <c r="E1041" s="450">
        <v>20</v>
      </c>
      <c r="F1041" s="250">
        <v>800</v>
      </c>
      <c r="G1041" s="1355">
        <v>26</v>
      </c>
      <c r="H1041" s="1719">
        <v>28</v>
      </c>
      <c r="I1041" s="453">
        <f t="shared" si="652"/>
        <v>14.280000000000001</v>
      </c>
      <c r="J1041" s="1045">
        <f t="shared" si="653"/>
        <v>13.26</v>
      </c>
      <c r="K1041" s="912">
        <v>35</v>
      </c>
      <c r="L1041" s="1710">
        <v>62</v>
      </c>
      <c r="M1041" s="336">
        <f t="shared" si="654"/>
        <v>2.48</v>
      </c>
      <c r="N1041" s="382">
        <f t="shared" si="655"/>
        <v>17.5</v>
      </c>
      <c r="O1041" s="469">
        <f t="shared" si="656"/>
        <v>0.31975867269984914</v>
      </c>
      <c r="P1041" s="472">
        <f t="shared" si="657"/>
        <v>0.22549019607843124</v>
      </c>
      <c r="Q1041" s="336">
        <v>0.30359999999999998</v>
      </c>
      <c r="R1041" s="382">
        <f t="shared" si="658"/>
        <v>14.279218799999999</v>
      </c>
      <c r="S1041" s="918">
        <f t="shared" si="659"/>
        <v>-7.686416289592754E-2</v>
      </c>
      <c r="T1041" s="358">
        <f t="shared" si="660"/>
        <v>5.4705882353099289E-5</v>
      </c>
      <c r="U1041" s="1720">
        <v>0.253</v>
      </c>
      <c r="V1041" s="262">
        <f t="shared" si="661"/>
        <v>0.30359999999999998</v>
      </c>
      <c r="W1041" s="262">
        <f t="shared" si="662"/>
        <v>14.279218799999999</v>
      </c>
      <c r="X1041" s="263">
        <f>(ROUND(W1041/(1-$AA$1038),0))</f>
        <v>18</v>
      </c>
      <c r="Y1041" s="262">
        <f t="shared" si="663"/>
        <v>17.34</v>
      </c>
      <c r="Z1041" s="263">
        <f t="shared" si="664"/>
        <v>34</v>
      </c>
      <c r="AA1041" s="264">
        <f t="shared" si="665"/>
        <v>0.20671006666666672</v>
      </c>
      <c r="AB1041" s="264">
        <f t="shared" si="666"/>
        <v>0.17651564013840837</v>
      </c>
      <c r="AC1041" s="1675">
        <f t="shared" si="667"/>
        <v>9.2272202998846531E-3</v>
      </c>
      <c r="AD1041" s="266">
        <f t="shared" si="668"/>
        <v>0.15004650000000011</v>
      </c>
      <c r="AE1041" s="261">
        <f t="shared" si="669"/>
        <v>0.37207917844917399</v>
      </c>
      <c r="AF1041" s="262">
        <f>(V1041/(1-$AA$1038))</f>
        <v>0.37481481481481477</v>
      </c>
      <c r="AG1041" s="1869">
        <v>0.71</v>
      </c>
      <c r="AH1041" s="267">
        <f t="shared" si="670"/>
        <v>0.18999999999999995</v>
      </c>
      <c r="AI1041" s="1366"/>
      <c r="AJ1041" s="1367"/>
      <c r="AK1041" s="1368"/>
      <c r="AL1041" s="1369"/>
      <c r="AM1041" s="1369"/>
      <c r="AN1041" s="1369"/>
      <c r="AO1041" s="13"/>
      <c r="AP1041" s="13"/>
    </row>
    <row r="1042" spans="1:42" ht="15.75">
      <c r="A1042" s="187"/>
      <c r="B1042" s="356" t="s">
        <v>271</v>
      </c>
      <c r="C1042" s="251" t="s">
        <v>211</v>
      </c>
      <c r="D1042" s="251">
        <v>44</v>
      </c>
      <c r="E1042" s="251">
        <v>10</v>
      </c>
      <c r="F1042" s="251">
        <v>350</v>
      </c>
      <c r="G1042" s="328">
        <v>44.625273129873818</v>
      </c>
      <c r="H1042" s="453">
        <f>G1042*(1+$H$33)</f>
        <v>47.74904224896499</v>
      </c>
      <c r="I1042" s="453">
        <f t="shared" si="652"/>
        <v>24.352011546972147</v>
      </c>
      <c r="J1042" s="1045">
        <f t="shared" si="653"/>
        <v>22.758889296235647</v>
      </c>
      <c r="K1042" s="912">
        <v>70</v>
      </c>
      <c r="L1042" s="322">
        <v>61</v>
      </c>
      <c r="M1042" s="385">
        <f t="shared" si="654"/>
        <v>1.3863636363636365</v>
      </c>
      <c r="N1042" s="382">
        <f t="shared" si="655"/>
        <v>35</v>
      </c>
      <c r="O1042" s="469">
        <f t="shared" si="656"/>
        <v>0.5378606374164776</v>
      </c>
      <c r="P1042" s="472">
        <f t="shared" si="657"/>
        <v>0.43725293216493211</v>
      </c>
      <c r="Q1042" s="336">
        <v>0.51019417475728157</v>
      </c>
      <c r="R1042" s="382">
        <f t="shared" si="658"/>
        <v>23.995962621359226</v>
      </c>
      <c r="S1042" s="918">
        <f t="shared" si="659"/>
        <v>-5.4355610637299073E-2</v>
      </c>
      <c r="T1042" s="358">
        <f t="shared" si="660"/>
        <v>1.4620924638038409E-2</v>
      </c>
      <c r="U1042" s="1721">
        <v>0.42946000000000001</v>
      </c>
      <c r="V1042" s="262">
        <f t="shared" si="661"/>
        <v>0.51535200000000003</v>
      </c>
      <c r="W1042" s="262">
        <f t="shared" si="662"/>
        <v>24.238550616000001</v>
      </c>
      <c r="X1042" s="263">
        <f>(ROUND(W1042/(1-$AA$1038),0))</f>
        <v>30</v>
      </c>
      <c r="Y1042" s="262">
        <f t="shared" si="663"/>
        <v>29.07</v>
      </c>
      <c r="Z1042" s="263">
        <f t="shared" si="664"/>
        <v>57</v>
      </c>
      <c r="AA1042" s="264">
        <f t="shared" si="665"/>
        <v>0.19204831279999995</v>
      </c>
      <c r="AB1042" s="264">
        <f t="shared" si="666"/>
        <v>0.16620052920536632</v>
      </c>
      <c r="AC1042" s="1675">
        <f t="shared" si="667"/>
        <v>0.2039903680770554</v>
      </c>
      <c r="AD1042" s="266">
        <f t="shared" si="668"/>
        <v>0.27861456499999998</v>
      </c>
      <c r="AE1042" s="261">
        <f t="shared" si="669"/>
        <v>0.74415835689834797</v>
      </c>
      <c r="AF1042" s="262">
        <f>(V1042/(1-$AA$1038))</f>
        <v>0.63623703703703705</v>
      </c>
      <c r="AG1042" s="1869">
        <v>1.2</v>
      </c>
      <c r="AH1042" s="267">
        <f t="shared" si="670"/>
        <v>0.18999999999999995</v>
      </c>
      <c r="AI1042" s="1372">
        <f>AJ1042/$AJ$1049</f>
        <v>0.58407777193904364</v>
      </c>
      <c r="AJ1042" s="338">
        <f>[1]Статистика!D351</f>
        <v>15561</v>
      </c>
      <c r="AK1042" s="297">
        <f>Q1042*S1042*AJ1042</f>
        <v>-431.53634351480019</v>
      </c>
      <c r="AL1042" s="866">
        <f>AK1042/$AK$1049</f>
        <v>1.6983468715636469</v>
      </c>
      <c r="AM1042" s="92">
        <f>AJ1042/$AJ$1101</f>
        <v>2.091096612936821E-2</v>
      </c>
      <c r="AN1042" s="92">
        <f>AK1042/$AK$1101</f>
        <v>5.6597652518284103E-3</v>
      </c>
      <c r="AO1042" s="13"/>
      <c r="AP1042" s="13"/>
    </row>
    <row r="1043" spans="1:42" ht="15.75">
      <c r="A1043" s="271"/>
      <c r="B1043" s="356" t="s">
        <v>272</v>
      </c>
      <c r="C1043" s="251" t="s">
        <v>213</v>
      </c>
      <c r="D1043" s="251">
        <v>64</v>
      </c>
      <c r="E1043" s="251">
        <v>10</v>
      </c>
      <c r="F1043" s="251">
        <v>300</v>
      </c>
      <c r="G1043" s="328">
        <v>64.874590614612273</v>
      </c>
      <c r="H1043" s="453">
        <f>G1043*(1+$H$33)</f>
        <v>69.415811957635142</v>
      </c>
      <c r="I1043" s="453">
        <f t="shared" si="652"/>
        <v>35.402064098393922</v>
      </c>
      <c r="J1043" s="1045">
        <f t="shared" si="653"/>
        <v>33.086041213452262</v>
      </c>
      <c r="K1043" s="912">
        <v>82</v>
      </c>
      <c r="L1043" s="322">
        <v>73</v>
      </c>
      <c r="M1043" s="385">
        <f t="shared" si="654"/>
        <v>1.140625</v>
      </c>
      <c r="N1043" s="382">
        <f t="shared" si="655"/>
        <v>41</v>
      </c>
      <c r="O1043" s="918">
        <f t="shared" si="656"/>
        <v>0.23919328200951551</v>
      </c>
      <c r="P1043" s="696">
        <f t="shared" si="657"/>
        <v>0.15812456262571528</v>
      </c>
      <c r="Q1043" s="331">
        <v>0.7</v>
      </c>
      <c r="R1043" s="382">
        <f t="shared" si="658"/>
        <v>32.923099999999998</v>
      </c>
      <c r="S1043" s="918">
        <f t="shared" si="659"/>
        <v>4.9247721237200941E-3</v>
      </c>
      <c r="T1043" s="358">
        <f t="shared" si="660"/>
        <v>7.0023151517495455E-2</v>
      </c>
      <c r="U1043" s="1721">
        <v>0.58705999999999992</v>
      </c>
      <c r="V1043" s="262">
        <f t="shared" si="661"/>
        <v>0.70447199999999988</v>
      </c>
      <c r="W1043" s="262">
        <f t="shared" si="662"/>
        <v>33.133431575999992</v>
      </c>
      <c r="X1043" s="263">
        <f>(ROUND(W1043/(1-$AA$1038),0))</f>
        <v>41</v>
      </c>
      <c r="Y1043" s="262">
        <f t="shared" si="663"/>
        <v>39.270000000000003</v>
      </c>
      <c r="Z1043" s="263">
        <f t="shared" si="664"/>
        <v>77</v>
      </c>
      <c r="AA1043" s="264">
        <f t="shared" si="665"/>
        <v>0.19186752253658554</v>
      </c>
      <c r="AB1043" s="264">
        <f t="shared" si="666"/>
        <v>0.15626606631016068</v>
      </c>
      <c r="AC1043" s="1675">
        <f t="shared" si="667"/>
        <v>4.4053985230455783E-2</v>
      </c>
      <c r="AD1043" s="266">
        <f t="shared" si="668"/>
        <v>0.15819533597560995</v>
      </c>
      <c r="AE1043" s="261">
        <f t="shared" si="669"/>
        <v>0.87172836093806472</v>
      </c>
      <c r="AF1043" s="262">
        <f>(V1043/(1-$AA$1038))</f>
        <v>0.86971851851851834</v>
      </c>
      <c r="AG1043" s="1869">
        <v>1.64</v>
      </c>
      <c r="AH1043" s="267">
        <f t="shared" si="670"/>
        <v>0.18999999999999997</v>
      </c>
      <c r="AI1043" s="1374">
        <f>AJ1043/$AJ$1049</f>
        <v>0.13869078897980633</v>
      </c>
      <c r="AJ1043" s="333">
        <f>[1]Статистика!D352</f>
        <v>3695</v>
      </c>
      <c r="AK1043" s="270">
        <f>Q1043*S1043*AJ1043</f>
        <v>12.737923098002023</v>
      </c>
      <c r="AL1043" s="506">
        <f>AK1043/$AK$1049</f>
        <v>-5.0131146933092792E-2</v>
      </c>
      <c r="AM1043" s="77">
        <f>AJ1043/$AJ$1101</f>
        <v>4.9653633987542922E-3</v>
      </c>
      <c r="AN1043" s="77">
        <f>AK1043/$AK$1101</f>
        <v>-1.6706276450169204E-4</v>
      </c>
      <c r="AO1043" s="13"/>
      <c r="AP1043" s="13"/>
    </row>
    <row r="1044" spans="1:42" ht="15.75">
      <c r="A1044" s="187"/>
      <c r="B1044" s="356" t="s">
        <v>273</v>
      </c>
      <c r="C1044" s="251" t="s">
        <v>215</v>
      </c>
      <c r="D1044" s="251">
        <v>94</v>
      </c>
      <c r="E1044" s="251">
        <v>10</v>
      </c>
      <c r="F1044" s="251">
        <v>250</v>
      </c>
      <c r="G1044" s="328">
        <v>95.296551006375708</v>
      </c>
      <c r="H1044" s="453">
        <f>G1044*(1+$H$33)</f>
        <v>101.96730957682202</v>
      </c>
      <c r="I1044" s="453">
        <f t="shared" si="652"/>
        <v>52.003327884179228</v>
      </c>
      <c r="J1044" s="1045">
        <f t="shared" si="653"/>
        <v>48.60124101325161</v>
      </c>
      <c r="K1044" s="912">
        <v>83</v>
      </c>
      <c r="L1044" s="322">
        <v>74</v>
      </c>
      <c r="M1044" s="335">
        <f t="shared" si="654"/>
        <v>0.78723404255319152</v>
      </c>
      <c r="N1044" s="382">
        <f t="shared" si="655"/>
        <v>41.5</v>
      </c>
      <c r="O1044" s="918">
        <f t="shared" si="656"/>
        <v>-0.14611233921609912</v>
      </c>
      <c r="P1044" s="964">
        <f t="shared" si="657"/>
        <v>-0.20197414880009279</v>
      </c>
      <c r="Q1044" s="336">
        <v>1.0018264425261245</v>
      </c>
      <c r="R1044" s="382">
        <f t="shared" si="658"/>
        <v>47.118903071331218</v>
      </c>
      <c r="S1044" s="918">
        <f t="shared" si="659"/>
        <v>3.0500001872713858E-2</v>
      </c>
      <c r="T1044" s="358">
        <f t="shared" si="660"/>
        <v>9.3925235395059786E-2</v>
      </c>
      <c r="U1044" s="1721">
        <v>0.84020499999999998</v>
      </c>
      <c r="V1044" s="262">
        <f t="shared" si="661"/>
        <v>1.008246</v>
      </c>
      <c r="W1044" s="262">
        <f t="shared" si="662"/>
        <v>47.420834118000002</v>
      </c>
      <c r="X1044" s="263">
        <f>(ROUND(W1044/(1-$AB$1038),0))</f>
        <v>54</v>
      </c>
      <c r="Y1044" s="262">
        <f t="shared" si="663"/>
        <v>52.02</v>
      </c>
      <c r="Z1044" s="263">
        <f t="shared" si="664"/>
        <v>102</v>
      </c>
      <c r="AA1044" s="264">
        <f t="shared" si="665"/>
        <v>0.12183640522222218</v>
      </c>
      <c r="AB1044" s="264">
        <f t="shared" si="666"/>
        <v>8.8411493310265307E-2</v>
      </c>
      <c r="AC1044" s="1590">
        <f t="shared" si="667"/>
        <v>-0.20222991157247217</v>
      </c>
      <c r="AD1044" s="266">
        <f t="shared" si="668"/>
        <v>-0.19028198087349413</v>
      </c>
      <c r="AE1044" s="261">
        <f t="shared" si="669"/>
        <v>0.88235919460804113</v>
      </c>
      <c r="AF1044" s="262">
        <f>(V1044/(1-$AB$1038))</f>
        <v>1.145734090909091</v>
      </c>
      <c r="AG1044" s="1869">
        <v>2.16</v>
      </c>
      <c r="AH1044" s="267">
        <f t="shared" si="670"/>
        <v>0.12000000000000005</v>
      </c>
      <c r="AI1044" s="1374">
        <f>AJ1044/$AJ$1049</f>
        <v>0.20009759027100069</v>
      </c>
      <c r="AJ1044" s="333">
        <f>[1]Статистика!D353</f>
        <v>5331</v>
      </c>
      <c r="AK1044" s="270">
        <f>Q1044*S1044*AJ1044</f>
        <v>162.89248133742822</v>
      </c>
      <c r="AL1044" s="506">
        <f>AK1044/$AK$1049</f>
        <v>-0.64107679512553717</v>
      </c>
      <c r="AM1044" s="77">
        <f>AJ1044/$AJ$1101</f>
        <v>7.1638301160376538E-3</v>
      </c>
      <c r="AN1044" s="77">
        <f>AK1044/$AK$1101</f>
        <v>-2.1363975931868759E-3</v>
      </c>
      <c r="AO1044" s="13"/>
      <c r="AP1044" s="13"/>
    </row>
    <row r="1045" spans="1:42" ht="15.75">
      <c r="A1045" s="187"/>
      <c r="B1045" s="699" t="s">
        <v>909</v>
      </c>
      <c r="C1045" s="699" t="s">
        <v>698</v>
      </c>
      <c r="D1045" s="1659">
        <v>155</v>
      </c>
      <c r="E1045" s="251">
        <v>5</v>
      </c>
      <c r="F1045" s="251">
        <v>100</v>
      </c>
      <c r="G1045" s="328">
        <v>152</v>
      </c>
      <c r="H1045" s="453">
        <v>163</v>
      </c>
      <c r="I1045" s="453">
        <f t="shared" si="652"/>
        <v>83.13</v>
      </c>
      <c r="J1045" s="1045">
        <f t="shared" si="653"/>
        <v>77.52</v>
      </c>
      <c r="K1045" s="912">
        <v>170</v>
      </c>
      <c r="L1045" s="322">
        <v>75</v>
      </c>
      <c r="M1045" s="335">
        <f t="shared" si="654"/>
        <v>0.4838709677419355</v>
      </c>
      <c r="N1045" s="382">
        <f t="shared" si="655"/>
        <v>85</v>
      </c>
      <c r="O1045" s="918">
        <f t="shared" si="656"/>
        <v>9.6491228070175517E-2</v>
      </c>
      <c r="P1045" s="964">
        <f t="shared" si="657"/>
        <v>2.249488752556239E-2</v>
      </c>
      <c r="Q1045" s="336">
        <v>1.8443999999999998</v>
      </c>
      <c r="R1045" s="382">
        <f t="shared" si="658"/>
        <v>86.7476652</v>
      </c>
      <c r="S1045" s="918">
        <f t="shared" si="659"/>
        <v>-0.11903592879256972</v>
      </c>
      <c r="T1045" s="358">
        <f t="shared" si="660"/>
        <v>-4.3518166726813481E-2</v>
      </c>
      <c r="U1045" s="1721">
        <v>1.5369999999999999</v>
      </c>
      <c r="V1045" s="262">
        <f t="shared" si="661"/>
        <v>1.8443999999999998</v>
      </c>
      <c r="W1045" s="262">
        <f t="shared" si="662"/>
        <v>86.7476652</v>
      </c>
      <c r="X1045" s="263">
        <f>(ROUND(W1045/(1-$AC$1038),0))</f>
        <v>95</v>
      </c>
      <c r="Y1045" s="262">
        <f t="shared" si="663"/>
        <v>91.29</v>
      </c>
      <c r="Z1045" s="263">
        <f t="shared" si="664"/>
        <v>179</v>
      </c>
      <c r="AA1045" s="264">
        <f t="shared" si="665"/>
        <v>8.686668210526316E-2</v>
      </c>
      <c r="AB1045" s="264">
        <f t="shared" si="666"/>
        <v>4.975720013144929E-2</v>
      </c>
      <c r="AC1045" s="1590">
        <f t="shared" si="667"/>
        <v>-6.890130353817514E-2</v>
      </c>
      <c r="AD1045" s="266">
        <f t="shared" si="668"/>
        <v>-6.3084132352941247E-2</v>
      </c>
      <c r="AE1045" s="261">
        <f t="shared" si="669"/>
        <v>1.8072417238959879</v>
      </c>
      <c r="AF1045" s="262">
        <f>(V1045/(1-$AC$1038))</f>
        <v>2.0268131868131865</v>
      </c>
      <c r="AG1045" s="1869">
        <v>3.82</v>
      </c>
      <c r="AH1045" s="267">
        <f t="shared" si="670"/>
        <v>8.9999999999999927E-2</v>
      </c>
      <c r="AI1045" s="1374"/>
      <c r="AJ1045" s="333"/>
      <c r="AK1045" s="270"/>
      <c r="AL1045" s="506"/>
      <c r="AM1045" s="77"/>
      <c r="AN1045" s="77"/>
      <c r="AO1045" s="13"/>
      <c r="AP1045" s="13"/>
    </row>
    <row r="1046" spans="1:42" ht="15.75">
      <c r="A1046" s="187"/>
      <c r="B1046" s="250" t="s">
        <v>274</v>
      </c>
      <c r="C1046" s="251" t="s">
        <v>217</v>
      </c>
      <c r="D1046" s="251">
        <v>158</v>
      </c>
      <c r="E1046" s="251">
        <v>5</v>
      </c>
      <c r="F1046" s="251">
        <v>100</v>
      </c>
      <c r="G1046" s="328">
        <v>160.26710995029953</v>
      </c>
      <c r="H1046" s="453">
        <f>G1046*(1+$H$33)</f>
        <v>171.48580764682052</v>
      </c>
      <c r="I1046" s="453">
        <f t="shared" si="652"/>
        <v>87.457761899878463</v>
      </c>
      <c r="J1046" s="1045">
        <f t="shared" si="653"/>
        <v>81.736226074652762</v>
      </c>
      <c r="K1046" s="912">
        <v>174</v>
      </c>
      <c r="L1046" s="322">
        <v>141</v>
      </c>
      <c r="M1046" s="385">
        <f t="shared" si="654"/>
        <v>0.89240506329113922</v>
      </c>
      <c r="N1046" s="382">
        <f t="shared" si="655"/>
        <v>87</v>
      </c>
      <c r="O1046" s="918">
        <f t="shared" si="656"/>
        <v>6.4399522441122237E-2</v>
      </c>
      <c r="P1046" s="964">
        <f t="shared" si="657"/>
        <v>-5.2340911765214049E-3</v>
      </c>
      <c r="Q1046" s="331">
        <v>1.7</v>
      </c>
      <c r="R1046" s="382">
        <f t="shared" si="658"/>
        <v>79.956100000000006</v>
      </c>
      <c r="S1046" s="918">
        <f t="shared" si="659"/>
        <v>2.1778911997073366E-2</v>
      </c>
      <c r="T1046" s="358">
        <f t="shared" si="660"/>
        <v>8.577468410941444E-2</v>
      </c>
      <c r="U1046" s="1721">
        <v>1.427265</v>
      </c>
      <c r="V1046" s="262">
        <f t="shared" si="661"/>
        <v>1.712718</v>
      </c>
      <c r="W1046" s="262">
        <f t="shared" si="662"/>
        <v>80.554265693999994</v>
      </c>
      <c r="X1046" s="263">
        <f>(ROUND(W1046/(1-$AB$1038),0))</f>
        <v>92</v>
      </c>
      <c r="Y1046" s="262">
        <f t="shared" si="663"/>
        <v>88.74</v>
      </c>
      <c r="Z1046" s="263">
        <f t="shared" si="664"/>
        <v>174</v>
      </c>
      <c r="AA1046" s="264">
        <f t="shared" si="665"/>
        <v>0.12441015550000006</v>
      </c>
      <c r="AB1046" s="264">
        <f t="shared" si="666"/>
        <v>9.2244019675456396E-2</v>
      </c>
      <c r="AC1046" s="768">
        <f t="shared" si="667"/>
        <v>-1.9607843137254832E-2</v>
      </c>
      <c r="AD1046" s="266">
        <f t="shared" si="668"/>
        <v>3.5509270905172433E-2</v>
      </c>
      <c r="AE1046" s="261">
        <f t="shared" si="669"/>
        <v>1.8497650585758936</v>
      </c>
      <c r="AF1046" s="262">
        <f>(V1046/(1-$AB$1038))</f>
        <v>1.9462704545454546</v>
      </c>
      <c r="AG1046" s="1869">
        <v>3.67</v>
      </c>
      <c r="AH1046" s="267">
        <f t="shared" si="670"/>
        <v>0.12000000000000002</v>
      </c>
      <c r="AI1046" s="1374">
        <f>AJ1046/$AJ$1049</f>
        <v>2.9539824337512198E-2</v>
      </c>
      <c r="AJ1046" s="333">
        <f>[1]Статистика!D354</f>
        <v>787</v>
      </c>
      <c r="AK1046" s="270">
        <f>Q1046*S1046*AJ1046</f>
        <v>29.138006360884454</v>
      </c>
      <c r="AL1046" s="506">
        <f>AK1046/$AK$1049</f>
        <v>-0.11467502723768282</v>
      </c>
      <c r="AM1046" s="77">
        <f>AJ1046/$AJ$1101</f>
        <v>1.0575753707224972E-3</v>
      </c>
      <c r="AN1046" s="77">
        <f>AK1046/$AK$1101</f>
        <v>-3.8215616920161678E-4</v>
      </c>
      <c r="AO1046" s="13"/>
      <c r="AP1046" s="13"/>
    </row>
    <row r="1047" spans="1:42" ht="16.5" thickBot="1">
      <c r="A1047" s="187"/>
      <c r="B1047" s="699" t="s">
        <v>275</v>
      </c>
      <c r="C1047" s="699" t="s">
        <v>219</v>
      </c>
      <c r="D1047" s="1659">
        <v>171</v>
      </c>
      <c r="E1047" s="251">
        <v>5</v>
      </c>
      <c r="F1047" s="251">
        <v>100</v>
      </c>
      <c r="G1047" s="328">
        <v>173.70267605391746</v>
      </c>
      <c r="H1047" s="453">
        <f>G1047*(1+$H$33)</f>
        <v>185.86186337769169</v>
      </c>
      <c r="I1047" s="453">
        <f t="shared" si="652"/>
        <v>94.789550322622759</v>
      </c>
      <c r="J1047" s="1045">
        <f t="shared" si="653"/>
        <v>88.588364787497909</v>
      </c>
      <c r="K1047" s="912">
        <v>187</v>
      </c>
      <c r="L1047" s="322">
        <v>151</v>
      </c>
      <c r="M1047" s="385">
        <f t="shared" si="654"/>
        <v>0.88304093567251463</v>
      </c>
      <c r="N1047" s="382">
        <f t="shared" si="655"/>
        <v>93.5</v>
      </c>
      <c r="O1047" s="918">
        <f t="shared" si="656"/>
        <v>5.5443344329516808E-2</v>
      </c>
      <c r="P1047" s="964">
        <f t="shared" si="657"/>
        <v>-1.360435109390945E-2</v>
      </c>
      <c r="Q1047" s="331">
        <v>1.9048442367601244</v>
      </c>
      <c r="R1047" s="382">
        <f t="shared" si="658"/>
        <v>89.590538987538935</v>
      </c>
      <c r="S1047" s="918">
        <f t="shared" si="659"/>
        <v>-1.1312706837348217E-2</v>
      </c>
      <c r="T1047" s="358">
        <f t="shared" si="660"/>
        <v>5.4847937535188546E-2</v>
      </c>
      <c r="U1047" s="1722">
        <v>1.5917600000000001</v>
      </c>
      <c r="V1047" s="289">
        <f t="shared" si="661"/>
        <v>1.910112</v>
      </c>
      <c r="W1047" s="289">
        <f t="shared" si="662"/>
        <v>89.838297695999998</v>
      </c>
      <c r="X1047" s="290">
        <f>(ROUND(W1047/(1-$AC$1038),0))</f>
        <v>99</v>
      </c>
      <c r="Y1047" s="289">
        <f t="shared" si="663"/>
        <v>95.37</v>
      </c>
      <c r="Z1047" s="290">
        <f t="shared" si="664"/>
        <v>187</v>
      </c>
      <c r="AA1047" s="292">
        <f t="shared" si="665"/>
        <v>9.2542447515151532E-2</v>
      </c>
      <c r="AB1047" s="292">
        <f t="shared" si="666"/>
        <v>5.8002540673167728E-2</v>
      </c>
      <c r="AC1047" s="1723">
        <f t="shared" si="667"/>
        <v>-1.9607843137254943E-2</v>
      </c>
      <c r="AD1047" s="294">
        <f t="shared" si="668"/>
        <v>-8.7230053475943661E-4</v>
      </c>
      <c r="AE1047" s="288">
        <f t="shared" si="669"/>
        <v>1.9879658962855866</v>
      </c>
      <c r="AF1047" s="289">
        <f>(V1047/(1-$AC$1038))</f>
        <v>2.0990241758241757</v>
      </c>
      <c r="AG1047" s="1870">
        <f>AF1047/(1-$X$828)</f>
        <v>3.9604229732531615</v>
      </c>
      <c r="AH1047" s="295">
        <f t="shared" si="670"/>
        <v>8.9999999999999913E-2</v>
      </c>
      <c r="AI1047" s="1374">
        <f>AJ1047/$AJ$1049</f>
        <v>4.7594024472637192E-2</v>
      </c>
      <c r="AJ1047" s="333">
        <f>[1]Статистика!D355</f>
        <v>1268</v>
      </c>
      <c r="AK1047" s="270">
        <f>Q1047*S1047*AJ1047</f>
        <v>-27.32406152618254</v>
      </c>
      <c r="AL1047" s="506">
        <f>AK1047/$AK$1049</f>
        <v>0.10753609773266563</v>
      </c>
      <c r="AM1047" s="77">
        <f>AJ1047/$AJ$1101</f>
        <v>1.7039460865007961E-3</v>
      </c>
      <c r="AN1047" s="77">
        <f>AK1047/$AK$1101</f>
        <v>3.5836558447227426E-4</v>
      </c>
      <c r="AO1047" s="13"/>
      <c r="AP1047" s="13"/>
    </row>
    <row r="1048" spans="1:42">
      <c r="A1048" s="18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U1048" s="17"/>
      <c r="V1048" s="17"/>
      <c r="W1048" s="17"/>
      <c r="X1048" s="17"/>
      <c r="Y1048" s="17"/>
      <c r="Z1048" s="17"/>
      <c r="AE1048" s="17"/>
      <c r="AF1048" s="17"/>
      <c r="AG1048" s="1"/>
      <c r="AI1048" s="459"/>
      <c r="AJ1048" s="460"/>
      <c r="AK1048" s="461"/>
      <c r="AL1048" s="1249"/>
      <c r="AM1048" s="459"/>
      <c r="AN1048" s="459"/>
      <c r="AO1048" s="13"/>
      <c r="AP1048" s="13"/>
    </row>
    <row r="1049" spans="1:42" ht="21.75" thickBot="1">
      <c r="A1049" s="187"/>
      <c r="J1049" s="532"/>
      <c r="K1049" s="533"/>
      <c r="P1049" s="1724"/>
      <c r="Q1049" s="1091"/>
      <c r="R1049" s="1092"/>
      <c r="S1049" s="364"/>
      <c r="T1049" s="364"/>
      <c r="U1049" s="872"/>
      <c r="V1049" s="872"/>
      <c r="W1049" s="872"/>
      <c r="X1049" s="872"/>
      <c r="Y1049" s="872"/>
      <c r="Z1049" s="872"/>
      <c r="AA1049" s="364"/>
      <c r="AB1049" s="364"/>
      <c r="AC1049" s="364"/>
      <c r="AD1049" s="364">
        <f>AVERAGE(AD1042:AD1047)</f>
        <v>3.6346793019931253E-2</v>
      </c>
      <c r="AE1049" s="872"/>
      <c r="AF1049" s="872"/>
      <c r="AG1049" s="1882"/>
      <c r="AH1049" s="364"/>
      <c r="AI1049" s="512">
        <f>S1042*AI1042+S1043*AI1043+S1044*AI1044+S1046*AI1046+S1047*AI1047</f>
        <v>-2.4856978555457116E-2</v>
      </c>
      <c r="AJ1049" s="513">
        <f>SUM(AJ1042:AJ1047)</f>
        <v>26642</v>
      </c>
      <c r="AK1049" s="514">
        <f>SUM(AK1042:AK1047)</f>
        <v>-254.09199424466806</v>
      </c>
      <c r="AM1049" s="307">
        <f>SUM(AM1042:AM1047)</f>
        <v>3.5801681101383452E-2</v>
      </c>
      <c r="AN1049" s="307">
        <f>SUM(AN1042:AN1047)</f>
        <v>3.3325143094104998E-3</v>
      </c>
      <c r="AO1049" s="13"/>
      <c r="AP1049" s="13"/>
    </row>
    <row r="1050" spans="1:42">
      <c r="A1050" s="149" t="s">
        <v>46</v>
      </c>
      <c r="C1050" s="157" t="s">
        <v>47</v>
      </c>
      <c r="J1050" s="532"/>
      <c r="K1050" s="533"/>
      <c r="AO1050" s="13"/>
      <c r="AP1050" s="13"/>
    </row>
    <row r="1051" spans="1:42" ht="15.75" thickBot="1">
      <c r="A1051" s="187"/>
      <c r="B1051" s="157"/>
      <c r="C1051" s="148" t="s">
        <v>9</v>
      </c>
      <c r="J1051" s="532"/>
      <c r="K1051" s="2309" t="s">
        <v>1445</v>
      </c>
      <c r="L1051" s="2309"/>
      <c r="M1051" s="2309"/>
      <c r="N1051" s="2309"/>
      <c r="O1051" s="2309"/>
      <c r="P1051" s="1852"/>
      <c r="T1051" s="1851"/>
      <c r="U1051" s="309"/>
      <c r="V1051" s="309"/>
      <c r="W1051" s="309"/>
      <c r="X1051" s="309"/>
      <c r="Y1051" s="309"/>
      <c r="Z1051" s="309"/>
      <c r="AA1051" s="346">
        <v>0.17</v>
      </c>
      <c r="AB1051" s="628">
        <v>0.22</v>
      </c>
      <c r="AC1051" s="628"/>
      <c r="AD1051" s="585"/>
      <c r="AE1051" s="188"/>
      <c r="AF1051" s="188"/>
      <c r="AG1051" s="1866"/>
      <c r="AH1051" s="1851"/>
      <c r="AO1051" s="13"/>
      <c r="AP1051" s="13"/>
    </row>
    <row r="1052" spans="1:42" ht="60.75" thickBot="1">
      <c r="A1052" s="187"/>
      <c r="B1052" s="189" t="s">
        <v>10</v>
      </c>
      <c r="C1052" s="1326" t="s">
        <v>11</v>
      </c>
      <c r="D1052" s="190" t="s">
        <v>12</v>
      </c>
      <c r="E1052" s="190" t="s">
        <v>13</v>
      </c>
      <c r="F1052" s="190" t="s">
        <v>14</v>
      </c>
      <c r="G1052" s="191" t="s">
        <v>15</v>
      </c>
      <c r="H1052" s="347" t="s">
        <v>1090</v>
      </c>
      <c r="I1052" s="347">
        <f>$C$20</f>
        <v>0.49</v>
      </c>
      <c r="J1052" s="873">
        <f>$C$20</f>
        <v>0.49</v>
      </c>
      <c r="K1052" s="548" t="s">
        <v>15</v>
      </c>
      <c r="L1052" s="423" t="s">
        <v>12</v>
      </c>
      <c r="M1052" s="196" t="s">
        <v>1091</v>
      </c>
      <c r="N1052" s="549" t="s">
        <v>993</v>
      </c>
      <c r="O1052" s="424" t="s">
        <v>1092</v>
      </c>
      <c r="P1052" s="772" t="s">
        <v>1092</v>
      </c>
      <c r="Q1052" s="200" t="s">
        <v>1093</v>
      </c>
      <c r="R1052" s="201" t="s">
        <v>1094</v>
      </c>
      <c r="S1052" s="350" t="s">
        <v>1095</v>
      </c>
      <c r="T1052" s="203" t="s">
        <v>1095</v>
      </c>
      <c r="U1052" s="204" t="s">
        <v>1096</v>
      </c>
      <c r="V1052" s="205" t="s">
        <v>1093</v>
      </c>
      <c r="W1052" s="206" t="s">
        <v>1094</v>
      </c>
      <c r="X1052" s="207" t="s">
        <v>1097</v>
      </c>
      <c r="Y1052" s="208">
        <v>0.49</v>
      </c>
      <c r="Z1052" s="207" t="s">
        <v>1098</v>
      </c>
      <c r="AA1052" s="209" t="s">
        <v>1099</v>
      </c>
      <c r="AB1052" s="209" t="s">
        <v>1100</v>
      </c>
      <c r="AC1052" s="210" t="s">
        <v>1092</v>
      </c>
      <c r="AD1052" s="211" t="s">
        <v>1101</v>
      </c>
      <c r="AE1052" s="212" t="s">
        <v>1102</v>
      </c>
      <c r="AF1052" s="208" t="s">
        <v>1103</v>
      </c>
      <c r="AG1052" s="1867" t="s">
        <v>1104</v>
      </c>
      <c r="AH1052" s="213" t="s">
        <v>1105</v>
      </c>
      <c r="AI1052" s="220" t="s">
        <v>1106</v>
      </c>
      <c r="AJ1052" s="483" t="s">
        <v>1107</v>
      </c>
      <c r="AK1052" s="484" t="s">
        <v>1108</v>
      </c>
      <c r="AL1052" s="221" t="s">
        <v>1109</v>
      </c>
      <c r="AM1052" s="221" t="s">
        <v>1175</v>
      </c>
      <c r="AN1052" s="221" t="s">
        <v>1176</v>
      </c>
      <c r="AO1052" s="13"/>
      <c r="AP1052" s="13"/>
    </row>
    <row r="1053" spans="1:42" ht="15.75">
      <c r="A1053" s="187"/>
      <c r="B1053" s="925" t="s">
        <v>276</v>
      </c>
      <c r="C1053" s="926" t="s">
        <v>190</v>
      </c>
      <c r="D1053" s="926">
        <v>9</v>
      </c>
      <c r="E1053" s="926">
        <v>50</v>
      </c>
      <c r="F1053" s="926">
        <v>1600</v>
      </c>
      <c r="G1053" s="433">
        <v>13</v>
      </c>
      <c r="H1053" s="357">
        <f>G1053*(1+$H$33)</f>
        <v>13.91</v>
      </c>
      <c r="I1053" s="357">
        <f>H1053-H1053*$J$833</f>
        <v>7.0941000000000001</v>
      </c>
      <c r="J1053" s="1616">
        <f>G1053-G1053*$J$833</f>
        <v>6.63</v>
      </c>
      <c r="K1053" s="1725">
        <v>17</v>
      </c>
      <c r="L1053" s="1508">
        <v>11</v>
      </c>
      <c r="M1053" s="1530">
        <f>L1053/D1053*100%</f>
        <v>1.2222222222222223</v>
      </c>
      <c r="N1053" s="561">
        <f>K1053-(K1053*$O$33)</f>
        <v>8.5</v>
      </c>
      <c r="O1053" s="1638">
        <f>((N1053/J1053)-1)*100%</f>
        <v>0.28205128205128216</v>
      </c>
      <c r="P1053" s="856">
        <f>((N1053/I1053)-1)*100%</f>
        <v>0.19817876827222625</v>
      </c>
      <c r="Q1053" s="1600">
        <v>0.14000000000000001</v>
      </c>
      <c r="R1053" s="561">
        <f>Q1053*$R$33</f>
        <v>6.584620000000001</v>
      </c>
      <c r="S1053" s="562">
        <f>((J1053-R1053)/J1053)*100%</f>
        <v>6.8446455505277327E-3</v>
      </c>
      <c r="T1053" s="237">
        <f>((I1053-R1053)/I1053)*100%</f>
        <v>7.1817425748156777E-2</v>
      </c>
      <c r="U1053" s="238">
        <v>0.11622999999999999</v>
      </c>
      <c r="V1053" s="239">
        <f>U1053*$X$31</f>
        <v>0.13947599999999999</v>
      </c>
      <c r="W1053" s="239">
        <f>V1053*$R$33</f>
        <v>6.5599747079999995</v>
      </c>
      <c r="X1053" s="240">
        <f>(ROUND(W1053/(1-$AA$1051),0))</f>
        <v>8</v>
      </c>
      <c r="Y1053" s="239">
        <f>Z1053*(1-$X$33)</f>
        <v>7.65</v>
      </c>
      <c r="Z1053" s="240">
        <f>ROUND(X1053/(1-$X$828),0)</f>
        <v>15</v>
      </c>
      <c r="AA1053" s="241">
        <f>((X1053-W1053)/X1053)*100%</f>
        <v>0.18000316150000006</v>
      </c>
      <c r="AB1053" s="241">
        <f>((Y1053-W1053)/Y1053)*100%</f>
        <v>0.14248696627450991</v>
      </c>
      <c r="AC1053" s="1198">
        <f>((N1053/Y1053)-1)*100%</f>
        <v>0.11111111111111116</v>
      </c>
      <c r="AD1053" s="243">
        <f>((N1053*0.96-W1053)/(N1053*0.96))*100%</f>
        <v>0.19608153088235303</v>
      </c>
      <c r="AE1053" s="238">
        <f>N1053/$R$33</f>
        <v>0.18072417238959879</v>
      </c>
      <c r="AF1053" s="239">
        <f>(V1053/(1-$AA$1051))</f>
        <v>0.16804337349397591</v>
      </c>
      <c r="AG1053" s="1868">
        <v>0.35</v>
      </c>
      <c r="AH1053" s="244">
        <f>((AF1053-V1053)/AF1053)*100%</f>
        <v>0.1700000000000001</v>
      </c>
      <c r="AI1053" s="92">
        <f>AJ1053/$AJ$1055</f>
        <v>0.82083626495125139</v>
      </c>
      <c r="AJ1053" s="338">
        <f>[1]Статистика!D359</f>
        <v>16333</v>
      </c>
      <c r="AK1053" s="297">
        <f>Q1053*S1053*AJ1053</f>
        <v>15.651103408747725</v>
      </c>
      <c r="AL1053" s="866">
        <f>AK1053/$AK$1055</f>
        <v>-0.67205425672813579</v>
      </c>
      <c r="AM1053" s="92">
        <f>AJ1053/$AJ$1101</f>
        <v>2.194838440916207E-2</v>
      </c>
      <c r="AN1053" s="92">
        <f>AK1053/$AK$1101</f>
        <v>-2.0527024561620849E-4</v>
      </c>
      <c r="AO1053" s="13"/>
      <c r="AP1053" s="13"/>
    </row>
    <row r="1054" spans="1:42" ht="16.5" thickBot="1">
      <c r="A1054" s="271"/>
      <c r="B1054" s="250" t="s">
        <v>277</v>
      </c>
      <c r="C1054" s="251" t="s">
        <v>192</v>
      </c>
      <c r="D1054" s="251">
        <v>18</v>
      </c>
      <c r="E1054" s="251">
        <v>40</v>
      </c>
      <c r="F1054" s="251">
        <v>800</v>
      </c>
      <c r="G1054" s="328">
        <v>20.249317484738441</v>
      </c>
      <c r="H1054" s="357">
        <f>G1054*(1+$H$33)</f>
        <v>21.666769708670135</v>
      </c>
      <c r="I1054" s="357">
        <f>H1054-H1054*$J$833</f>
        <v>11.05005255142177</v>
      </c>
      <c r="J1054" s="883">
        <f>G1054-G1054*$J$833</f>
        <v>10.327151917216606</v>
      </c>
      <c r="K1054" s="279">
        <v>35</v>
      </c>
      <c r="L1054" s="341">
        <v>18</v>
      </c>
      <c r="M1054" s="896">
        <f>L1054/D1054*100%</f>
        <v>1</v>
      </c>
      <c r="N1054" s="390">
        <f>K1054-(K1054*$O$33)</f>
        <v>17.5</v>
      </c>
      <c r="O1054" s="363">
        <f>((N1054/J1054)-1)*100%</f>
        <v>0.69456207677408077</v>
      </c>
      <c r="P1054" s="868">
        <f>((N1054/I1054)-1)*100%</f>
        <v>0.58370287548979483</v>
      </c>
      <c r="Q1054" s="257">
        <v>0.23</v>
      </c>
      <c r="R1054" s="258">
        <f>Q1054*$R$33</f>
        <v>10.817590000000001</v>
      </c>
      <c r="S1054" s="259">
        <f>((J1054-R1054)/J1054)*100%</f>
        <v>-4.7490158633744513E-2</v>
      </c>
      <c r="T1054" s="260">
        <f>((I1054-R1054)/I1054)*100%</f>
        <v>2.1037234921734243E-2</v>
      </c>
      <c r="U1054" s="261">
        <v>0.186165</v>
      </c>
      <c r="V1054" s="239">
        <f>U1054*$X$31</f>
        <v>0.22339799999999999</v>
      </c>
      <c r="W1054" s="262">
        <f>V1054*$R$33</f>
        <v>10.507078134</v>
      </c>
      <c r="X1054" s="240">
        <f>(ROUND(W1054/(1-$AB$1051),0))</f>
        <v>13</v>
      </c>
      <c r="Y1054" s="239">
        <f>Z1054*(1-$X$33)</f>
        <v>12.75</v>
      </c>
      <c r="Z1054" s="240">
        <f>ROUND(X1054/(1-$X$828),0)</f>
        <v>25</v>
      </c>
      <c r="AA1054" s="264">
        <f>((X1054-W1054)/X1054)*100%</f>
        <v>0.19176322046153843</v>
      </c>
      <c r="AB1054" s="241">
        <f>((Y1054-W1054)/Y1054)*100%</f>
        <v>0.17591544047058821</v>
      </c>
      <c r="AC1054" s="1198">
        <f>((N1054/Y1054)-1)*100%</f>
        <v>0.37254901960784315</v>
      </c>
      <c r="AD1054" s="266">
        <f>((N1054*0.96-W1054)/(N1054*0.96))*100%</f>
        <v>0.37457868249999998</v>
      </c>
      <c r="AE1054" s="261">
        <f>N1054/$R$33</f>
        <v>0.37207917844917399</v>
      </c>
      <c r="AF1054" s="239">
        <f>(V1054/(1-$AB$1051))</f>
        <v>0.28640769230769225</v>
      </c>
      <c r="AG1054" s="1868">
        <f>AF1054/(1-$X$828)</f>
        <v>0.54039187227866459</v>
      </c>
      <c r="AH1054" s="267">
        <f>((AF1054-V1054)/AF1054)*100%</f>
        <v>0.21999999999999989</v>
      </c>
      <c r="AI1054" s="77">
        <f>AJ1054/$AJ$1055</f>
        <v>0.17916373504874861</v>
      </c>
      <c r="AJ1054" s="333">
        <f>[1]Статистика!D360</f>
        <v>3565</v>
      </c>
      <c r="AK1054" s="270">
        <f>Q1054*S1054*AJ1054</f>
        <v>-38.939555571738815</v>
      </c>
      <c r="AL1054" s="506">
        <f>AK1054/$AK$1055</f>
        <v>1.6720542567281358</v>
      </c>
      <c r="AM1054" s="77">
        <f>AJ1054/$AJ$1101</f>
        <v>4.7906686107061025E-3</v>
      </c>
      <c r="AN1054" s="77">
        <f>AK1054/$AK$1101</f>
        <v>5.1070725990662736E-4</v>
      </c>
      <c r="AO1054" s="13"/>
      <c r="AP1054" s="13"/>
    </row>
    <row r="1055" spans="1:42" ht="15.75" thickBot="1">
      <c r="A1055" s="271"/>
      <c r="B1055" s="413"/>
      <c r="C1055" s="414"/>
      <c r="D1055" s="414"/>
      <c r="E1055" s="414"/>
      <c r="F1055" s="414"/>
      <c r="G1055" s="827"/>
      <c r="H1055" s="785"/>
      <c r="I1055" s="785"/>
      <c r="J1055" s="897"/>
      <c r="K1055" s="533"/>
      <c r="P1055" s="1209" t="s">
        <v>973</v>
      </c>
      <c r="Q1055" s="1091"/>
      <c r="R1055" s="1092"/>
      <c r="S1055" s="364"/>
      <c r="T1055" s="364"/>
      <c r="U1055" s="872"/>
      <c r="V1055" s="872"/>
      <c r="W1055" s="872"/>
      <c r="X1055" s="872"/>
      <c r="Y1055" s="872"/>
      <c r="Z1055" s="872"/>
      <c r="AA1055" s="364"/>
      <c r="AB1055" s="364"/>
      <c r="AC1055" s="364"/>
      <c r="AD1055" s="364">
        <f>AVERAGE(AD1053:AD1054)</f>
        <v>0.28533010669117653</v>
      </c>
      <c r="AE1055" s="872"/>
      <c r="AF1055" s="872"/>
      <c r="AG1055" s="1882"/>
      <c r="AH1055" s="364"/>
      <c r="AI1055" s="512">
        <f>S1053*AI1053+S1054*AI1054</f>
        <v>-2.8901809102688568E-3</v>
      </c>
      <c r="AJ1055" s="513">
        <f>SUM(AJ1053:AJ1054)</f>
        <v>19898</v>
      </c>
      <c r="AK1055" s="514">
        <f>SUM(AK1053:AK1054)</f>
        <v>-23.288452162991092</v>
      </c>
      <c r="AM1055" s="307">
        <f>SUM(AM1053:AM1054)</f>
        <v>2.6739053019868172E-2</v>
      </c>
      <c r="AN1055" s="307">
        <f>SUM(AN1053:AN1054)</f>
        <v>3.0543701429041887E-4</v>
      </c>
      <c r="AO1055" s="13"/>
      <c r="AP1055" s="13"/>
    </row>
    <row r="1056" spans="1:42">
      <c r="A1056" s="271"/>
      <c r="B1056" s="413"/>
      <c r="C1056" s="157" t="s">
        <v>709</v>
      </c>
      <c r="D1056" s="414"/>
      <c r="E1056" s="414"/>
      <c r="F1056" s="414"/>
      <c r="G1056" s="827"/>
      <c r="H1056" s="785"/>
      <c r="I1056" s="785"/>
      <c r="J1056" s="897"/>
      <c r="K1056" s="533"/>
      <c r="AO1056" s="13"/>
      <c r="AP1056" s="13"/>
    </row>
    <row r="1057" spans="1:42" ht="15.75" thickBot="1">
      <c r="A1057" s="149" t="s">
        <v>713</v>
      </c>
      <c r="B1057" s="413"/>
      <c r="C1057" s="148" t="s">
        <v>9</v>
      </c>
      <c r="E1057" s="414"/>
      <c r="F1057" s="414"/>
      <c r="G1057" s="827"/>
      <c r="H1057" s="785"/>
      <c r="I1057" s="785"/>
      <c r="J1057" s="897"/>
      <c r="K1057" s="2309" t="s">
        <v>1446</v>
      </c>
      <c r="L1057" s="2309"/>
      <c r="M1057" s="2309"/>
      <c r="N1057" s="2309"/>
      <c r="O1057" s="2309"/>
      <c r="P1057" s="1852"/>
      <c r="T1057" s="1851"/>
      <c r="U1057" s="309"/>
      <c r="V1057" s="309"/>
      <c r="W1057" s="309"/>
      <c r="X1057" s="309"/>
      <c r="Y1057" s="309"/>
      <c r="Z1057" s="309"/>
      <c r="AA1057" s="346">
        <v>0.22</v>
      </c>
      <c r="AB1057" s="628"/>
      <c r="AC1057" s="628"/>
      <c r="AD1057" s="585"/>
      <c r="AE1057" s="188"/>
      <c r="AF1057" s="188"/>
      <c r="AG1057" s="1866"/>
      <c r="AH1057" s="1851"/>
      <c r="AO1057" s="13"/>
      <c r="AP1057" s="13"/>
    </row>
    <row r="1058" spans="1:42" ht="60.75" thickBot="1">
      <c r="A1058" s="271"/>
      <c r="B1058" s="369" t="s">
        <v>10</v>
      </c>
      <c r="C1058" s="1334" t="s">
        <v>11</v>
      </c>
      <c r="D1058" s="370" t="s">
        <v>12</v>
      </c>
      <c r="E1058" s="370" t="s">
        <v>13</v>
      </c>
      <c r="F1058" s="370" t="s">
        <v>14</v>
      </c>
      <c r="G1058" s="371" t="s">
        <v>15</v>
      </c>
      <c r="H1058" s="372" t="s">
        <v>1090</v>
      </c>
      <c r="I1058" s="372">
        <f>$C$20</f>
        <v>0.49</v>
      </c>
      <c r="J1058" s="684">
        <f>$C$20</f>
        <v>0.49</v>
      </c>
      <c r="K1058" s="1124" t="s">
        <v>15</v>
      </c>
      <c r="L1058" s="423" t="s">
        <v>12</v>
      </c>
      <c r="M1058" s="196" t="s">
        <v>1091</v>
      </c>
      <c r="N1058" s="549" t="s">
        <v>993</v>
      </c>
      <c r="O1058" s="424" t="s">
        <v>1092</v>
      </c>
      <c r="P1058" s="199" t="s">
        <v>1092</v>
      </c>
      <c r="Q1058" s="200" t="s">
        <v>1093</v>
      </c>
      <c r="R1058" s="201" t="s">
        <v>1094</v>
      </c>
      <c r="S1058" s="350" t="s">
        <v>1095</v>
      </c>
      <c r="T1058" s="203" t="s">
        <v>1095</v>
      </c>
      <c r="U1058" s="204" t="s">
        <v>1096</v>
      </c>
      <c r="V1058" s="205" t="s">
        <v>1093</v>
      </c>
      <c r="W1058" s="206" t="s">
        <v>1094</v>
      </c>
      <c r="X1058" s="207" t="s">
        <v>1097</v>
      </c>
      <c r="Y1058" s="208">
        <v>0.49</v>
      </c>
      <c r="Z1058" s="207" t="s">
        <v>1098</v>
      </c>
      <c r="AA1058" s="209" t="s">
        <v>1099</v>
      </c>
      <c r="AB1058" s="209" t="s">
        <v>1100</v>
      </c>
      <c r="AC1058" s="210" t="s">
        <v>1092</v>
      </c>
      <c r="AD1058" s="211" t="s">
        <v>1101</v>
      </c>
      <c r="AE1058" s="212" t="s">
        <v>1102</v>
      </c>
      <c r="AF1058" s="208" t="s">
        <v>1103</v>
      </c>
      <c r="AG1058" s="1867" t="s">
        <v>1104</v>
      </c>
      <c r="AH1058" s="213" t="s">
        <v>1105</v>
      </c>
      <c r="AI1058" s="220" t="s">
        <v>1106</v>
      </c>
      <c r="AJ1058" s="483" t="s">
        <v>1107</v>
      </c>
      <c r="AK1058" s="484" t="s">
        <v>1108</v>
      </c>
      <c r="AL1058" s="221" t="s">
        <v>1109</v>
      </c>
      <c r="AM1058" s="221" t="s">
        <v>1175</v>
      </c>
      <c r="AN1058" s="221" t="s">
        <v>1176</v>
      </c>
      <c r="AO1058" s="13"/>
      <c r="AP1058" s="13"/>
    </row>
    <row r="1059" spans="1:42" ht="15.75">
      <c r="A1059" s="271"/>
      <c r="B1059" s="356" t="s">
        <v>1447</v>
      </c>
      <c r="C1059" s="251" t="s">
        <v>1448</v>
      </c>
      <c r="D1059" s="251">
        <v>11</v>
      </c>
      <c r="E1059" s="251">
        <v>50</v>
      </c>
      <c r="F1059" s="251">
        <v>1500</v>
      </c>
      <c r="G1059" s="328">
        <v>12.22689156626506</v>
      </c>
      <c r="H1059" s="357">
        <f>G1059*(1+$H$33)</f>
        <v>13.082773975903615</v>
      </c>
      <c r="I1059" s="357">
        <f>H1059-H1059*$J$833</f>
        <v>6.6722147277108439</v>
      </c>
      <c r="J1059" s="884">
        <f>G1059-G1059*$J$833</f>
        <v>6.2357146987951806</v>
      </c>
      <c r="K1059" s="1094">
        <v>39</v>
      </c>
      <c r="L1059" s="1726">
        <v>30</v>
      </c>
      <c r="M1059" s="385">
        <f>L1059/D1059*100%</f>
        <v>2.7272727272727271</v>
      </c>
      <c r="N1059" s="382">
        <f>K1059-(K1059*$O$33)</f>
        <v>19.5</v>
      </c>
      <c r="O1059" s="329">
        <f>((N1059/J1059)-1)*100%</f>
        <v>2.1271475591671392</v>
      </c>
      <c r="P1059" s="1652">
        <f>((N1059/I1059)-1)*100%</f>
        <v>1.9225678123057373</v>
      </c>
      <c r="Q1059" s="234">
        <v>0.15</v>
      </c>
      <c r="R1059" s="235">
        <f>Q1059*$R$33</f>
        <v>7.0549499999999998</v>
      </c>
      <c r="S1059" s="236">
        <f>((J1059-R1059)/J1059)*100%</f>
        <v>-0.13137793192544647</v>
      </c>
      <c r="T1059" s="237">
        <f>((I1059-R1059)/I1059)*100%</f>
        <v>-5.7362553201351744E-2</v>
      </c>
      <c r="U1059" s="238">
        <v>0.12017</v>
      </c>
      <c r="V1059" s="239">
        <f>U1059*$X$31</f>
        <v>0.144204</v>
      </c>
      <c r="W1059" s="239">
        <f>V1059*$R$33</f>
        <v>6.7823467319999997</v>
      </c>
      <c r="X1059" s="240">
        <f>(ROUND(W1059/(1-$AA$1057),0))</f>
        <v>9</v>
      </c>
      <c r="Y1059" s="239">
        <f>Z1059*(1-$X$33)</f>
        <v>8.67</v>
      </c>
      <c r="Z1059" s="240">
        <f>ROUND(X1059/(1-$X$828),0)</f>
        <v>17</v>
      </c>
      <c r="AA1059" s="241">
        <f>((X1059-W1059)/X1059)*100%</f>
        <v>0.2464059186666667</v>
      </c>
      <c r="AB1059" s="241">
        <f>((Y1059-W1059)/Y1059)*100%</f>
        <v>0.21772240692041525</v>
      </c>
      <c r="AC1059" s="242">
        <f>((N1059/Y1059)-1)*100%</f>
        <v>1.2491349480968856</v>
      </c>
      <c r="AD1059" s="243">
        <f>((N1059*0.96-W1059)/(N1059*0.96))*100%</f>
        <v>0.63769515320512815</v>
      </c>
      <c r="AE1059" s="238">
        <f>N1059/$R$33</f>
        <v>0.41460251312907959</v>
      </c>
      <c r="AF1059" s="239">
        <f>(V1059/(1-$AA$1057))</f>
        <v>0.18487692307692308</v>
      </c>
      <c r="AG1059" s="1868">
        <v>0.35</v>
      </c>
      <c r="AH1059" s="244">
        <f>((AF1059-V1059)/AF1059)*100%</f>
        <v>0.22</v>
      </c>
      <c r="AI1059" s="77">
        <f>AJ1059/$AJ$1063</f>
        <v>0.36355515855292542</v>
      </c>
      <c r="AJ1059" s="333">
        <f>[1]Статистика!D296</f>
        <v>2442</v>
      </c>
      <c r="AK1059" s="270">
        <f>Q1059*S1059*AJ1059</f>
        <v>-48.123736464291042</v>
      </c>
      <c r="AL1059" s="506">
        <f>AK1059/$AK$1063</f>
        <v>0.27085025799369383</v>
      </c>
      <c r="AM1059" s="77">
        <f>AJ1059/$AJ$1101</f>
        <v>3.2815744031821329E-3</v>
      </c>
      <c r="AN1059" s="77">
        <f>AK1059/$AK$1101</f>
        <v>6.3116132748017534E-4</v>
      </c>
      <c r="AO1059" s="13"/>
      <c r="AP1059" s="13"/>
    </row>
    <row r="1060" spans="1:42" ht="15.75">
      <c r="A1060" s="271"/>
      <c r="B1060" s="356" t="s">
        <v>1449</v>
      </c>
      <c r="C1060" s="251" t="s">
        <v>1450</v>
      </c>
      <c r="D1060" s="251">
        <v>18</v>
      </c>
      <c r="E1060" s="251">
        <v>40</v>
      </c>
      <c r="F1060" s="251">
        <v>1000</v>
      </c>
      <c r="G1060" s="328">
        <v>18.802698795180721</v>
      </c>
      <c r="H1060" s="357">
        <f>G1060*(1+$H$33)</f>
        <v>20.118887710843371</v>
      </c>
      <c r="I1060" s="357">
        <f>H1060-H1060*$J$833</f>
        <v>10.260632732530119</v>
      </c>
      <c r="J1060" s="884">
        <f>G1060-G1060*$J$833</f>
        <v>9.5893763855421685</v>
      </c>
      <c r="K1060" s="1094">
        <v>41</v>
      </c>
      <c r="L1060" s="1726">
        <v>33</v>
      </c>
      <c r="M1060" s="385">
        <f>L1060/D1060*100%</f>
        <v>1.8333333333333333</v>
      </c>
      <c r="N1060" s="382">
        <f>K1060-(K1060*$O$33)</f>
        <v>20.5</v>
      </c>
      <c r="O1060" s="329">
        <f>((N1060/J1060)-1)*100%</f>
        <v>1.1377823933272344</v>
      </c>
      <c r="P1060" s="861">
        <f>((N1060/I1060)-1)*100%</f>
        <v>0.99792747039928442</v>
      </c>
      <c r="Q1060" s="257">
        <v>0.23</v>
      </c>
      <c r="R1060" s="258">
        <f>Q1060*$R$33</f>
        <v>10.817590000000001</v>
      </c>
      <c r="S1060" s="259">
        <f>((J1060-R1060)/J1060)*100%</f>
        <v>-0.12808065562111015</v>
      </c>
      <c r="T1060" s="260">
        <f>((I1060-R1060)/I1060)*100%</f>
        <v>-5.4280986561785274E-2</v>
      </c>
      <c r="U1060" s="261">
        <v>0.18518000000000001</v>
      </c>
      <c r="V1060" s="239">
        <f>U1060*$X$31</f>
        <v>0.222216</v>
      </c>
      <c r="W1060" s="262">
        <f>V1060*$R$33</f>
        <v>10.451485128</v>
      </c>
      <c r="X1060" s="240">
        <f>(ROUND(W1060/(1-$AA$1057),0))</f>
        <v>13</v>
      </c>
      <c r="Y1060" s="239">
        <f>Z1060*(1-$X$33)</f>
        <v>12.75</v>
      </c>
      <c r="Z1060" s="240">
        <f>ROUND(X1060/(1-$X$828),0)</f>
        <v>25</v>
      </c>
      <c r="AA1060" s="264">
        <f>((X1060-W1060)/X1060)*100%</f>
        <v>0.19603960553846156</v>
      </c>
      <c r="AB1060" s="241">
        <f>((Y1060-W1060)/Y1060)*100%</f>
        <v>0.18027567623529414</v>
      </c>
      <c r="AC1060" s="242">
        <f>((N1060/Y1060)-1)*100%</f>
        <v>0.60784313725490202</v>
      </c>
      <c r="AD1060" s="266">
        <f>((N1060*0.96-W1060)/(N1060*0.96))*100%</f>
        <v>0.46892860121951219</v>
      </c>
      <c r="AE1060" s="261">
        <f>N1060/$R$33</f>
        <v>0.43586418046903236</v>
      </c>
      <c r="AF1060" s="239">
        <f>(V1060/(1-$AA$1057))</f>
        <v>0.28489230769230767</v>
      </c>
      <c r="AG1060" s="1868">
        <v>0.54</v>
      </c>
      <c r="AH1060" s="267">
        <f>((AF1060-V1060)/AF1060)*100%</f>
        <v>0.21999999999999995</v>
      </c>
      <c r="AI1060" s="77">
        <f>AJ1060/$AJ$1063</f>
        <v>0.36772368616942086</v>
      </c>
      <c r="AJ1060" s="333">
        <f>[1]Статистика!D297</f>
        <v>2470</v>
      </c>
      <c r="AK1060" s="270">
        <f>Q1060*S1060*AJ1060</f>
        <v>-72.762620458352686</v>
      </c>
      <c r="AL1060" s="506">
        <f>AK1060/$AK$1063</f>
        <v>0.40952295003247902</v>
      </c>
      <c r="AM1060" s="77">
        <f>AJ1060/$AJ$1101</f>
        <v>3.3192009729155888E-3</v>
      </c>
      <c r="AN1060" s="77">
        <f>AK1060/$AK$1101</f>
        <v>9.5430977504224867E-4</v>
      </c>
      <c r="AO1060" s="13"/>
      <c r="AP1060" s="13"/>
    </row>
    <row r="1061" spans="1:42" ht="15.75">
      <c r="A1061" s="271"/>
      <c r="B1061" s="356" t="s">
        <v>1451</v>
      </c>
      <c r="C1061" s="251" t="s">
        <v>1309</v>
      </c>
      <c r="D1061" s="251">
        <v>20</v>
      </c>
      <c r="E1061" s="251">
        <v>20</v>
      </c>
      <c r="F1061" s="251">
        <v>400</v>
      </c>
      <c r="G1061" s="328">
        <v>20.857638554216869</v>
      </c>
      <c r="H1061" s="357">
        <f>G1061*(1+$H$33)</f>
        <v>22.317673253012053</v>
      </c>
      <c r="I1061" s="357">
        <f>H1061-H1061*$J$833</f>
        <v>11.382013359036147</v>
      </c>
      <c r="J1061" s="884">
        <f>G1061-G1061*$J$833</f>
        <v>10.637395662650604</v>
      </c>
      <c r="K1061" s="1094">
        <v>74</v>
      </c>
      <c r="L1061" s="1726">
        <v>59</v>
      </c>
      <c r="M1061" s="335">
        <f>L1061/D1061*100%</f>
        <v>2.95</v>
      </c>
      <c r="N1061" s="382">
        <f>K1061-(K1061*$O$33)</f>
        <v>37</v>
      </c>
      <c r="O1061" s="329">
        <f>((N1061/J1061)-1)*100%</f>
        <v>2.47829498623542</v>
      </c>
      <c r="P1061" s="861">
        <f>((N1061/I1061)-1)*100%</f>
        <v>2.2507429777901118</v>
      </c>
      <c r="Q1061" s="273">
        <v>0.25</v>
      </c>
      <c r="R1061" s="258">
        <f>Q1061*$R$33</f>
        <v>11.75825</v>
      </c>
      <c r="S1061" s="259">
        <f>((J1061-R1061)/J1061)*100%</f>
        <v>-0.10536924383520617</v>
      </c>
      <c r="T1061" s="260">
        <f>((I1061-R1061)/I1061)*100%</f>
        <v>-3.3055368070286084E-2</v>
      </c>
      <c r="U1061" s="261">
        <v>0.20586499999999999</v>
      </c>
      <c r="V1061" s="239">
        <f>U1061*$X$31</f>
        <v>0.24703799999999998</v>
      </c>
      <c r="W1061" s="262">
        <f>V1061*$R$33</f>
        <v>11.618938254</v>
      </c>
      <c r="X1061" s="240">
        <f>(ROUND(W1061/(1-$AA$1057),0))</f>
        <v>15</v>
      </c>
      <c r="Y1061" s="239">
        <f>Z1061*(1-$X$33)</f>
        <v>14.280000000000001</v>
      </c>
      <c r="Z1061" s="240">
        <f>ROUND(X1061/(1-$X$828),0)</f>
        <v>28</v>
      </c>
      <c r="AA1061" s="264">
        <f>((X1061-W1061)/X1061)*100%</f>
        <v>0.22540411640000002</v>
      </c>
      <c r="AB1061" s="241">
        <f>((Y1061-W1061)/Y1061)*100%</f>
        <v>0.18634886176470597</v>
      </c>
      <c r="AC1061" s="242">
        <f>((N1061/Y1061)-1)*100%</f>
        <v>1.591036414565826</v>
      </c>
      <c r="AD1061" s="266">
        <f>((N1061*0.96-W1061)/(N1061*0.96))*100%</f>
        <v>0.67289025185810813</v>
      </c>
      <c r="AE1061" s="261">
        <f>N1061/$R$33</f>
        <v>0.78668169157825352</v>
      </c>
      <c r="AF1061" s="239">
        <f>(V1061/(1-$AA$1057))</f>
        <v>0.31671538461538457</v>
      </c>
      <c r="AG1061" s="1868">
        <v>0.6</v>
      </c>
      <c r="AH1061" s="267">
        <f>((AF1061-V1061)/AF1061)*100%</f>
        <v>0.21999999999999995</v>
      </c>
      <c r="AI1061" s="77">
        <f>AJ1061/$AJ$1063</f>
        <v>0.18013994342712519</v>
      </c>
      <c r="AJ1061" s="333">
        <f>[1]Статистика!D298</f>
        <v>1210</v>
      </c>
      <c r="AK1061" s="270">
        <f>Q1061*S1061*AJ1061</f>
        <v>-31.874196260149866</v>
      </c>
      <c r="AL1061" s="506">
        <f>AK1061/$AK$1063</f>
        <v>0.17939451328367267</v>
      </c>
      <c r="AM1061" s="77">
        <f>AJ1061/$AJ$1101</f>
        <v>1.6260053349100659E-3</v>
      </c>
      <c r="AN1061" s="77">
        <f>AK1061/$AK$1101</f>
        <v>4.1804235294255851E-4</v>
      </c>
      <c r="AO1061" s="13"/>
      <c r="AP1061" s="13"/>
    </row>
    <row r="1062" spans="1:42" ht="16.5" thickBot="1">
      <c r="A1062" s="271"/>
      <c r="B1062" s="359" t="s">
        <v>1452</v>
      </c>
      <c r="C1062" s="276" t="s">
        <v>1453</v>
      </c>
      <c r="D1062" s="276">
        <v>32</v>
      </c>
      <c r="E1062" s="276">
        <v>10</v>
      </c>
      <c r="F1062" s="276">
        <v>250</v>
      </c>
      <c r="G1062" s="339">
        <v>33.392771084337355</v>
      </c>
      <c r="H1062" s="360">
        <f>G1062*(1+$H$33)</f>
        <v>35.730265060240974</v>
      </c>
      <c r="I1062" s="360">
        <f>H1062-H1062*$J$833</f>
        <v>18.222435180722897</v>
      </c>
      <c r="J1062" s="887">
        <f>G1062-G1062*$J$833</f>
        <v>17.03031325301205</v>
      </c>
      <c r="K1062" s="900">
        <v>109</v>
      </c>
      <c r="L1062" s="1727">
        <v>74</v>
      </c>
      <c r="M1062" s="896">
        <f>L1062/D1062*100%</f>
        <v>2.3125</v>
      </c>
      <c r="N1062" s="382">
        <f>K1062-(K1062*$O$33)</f>
        <v>54.5</v>
      </c>
      <c r="O1062" s="363">
        <f>((N1062/J1062)-1)*100%</f>
        <v>2.200176014986742</v>
      </c>
      <c r="P1062" s="868">
        <f>((N1062/I1062)-1)*100%</f>
        <v>1.9908187055950854</v>
      </c>
      <c r="Q1062" s="257">
        <v>0.4</v>
      </c>
      <c r="R1062" s="258">
        <f>Q1062*$R$33</f>
        <v>18.813200000000002</v>
      </c>
      <c r="S1062" s="259">
        <f>((J1062-R1062)/J1062)*100%</f>
        <v>-0.10468901660823082</v>
      </c>
      <c r="T1062" s="260">
        <f>((I1062-R1062)/I1062)*100%</f>
        <v>-3.2419641689935143E-2</v>
      </c>
      <c r="U1062" s="261">
        <v>0.32899</v>
      </c>
      <c r="V1062" s="239">
        <f>U1062*$X$31</f>
        <v>0.39478799999999997</v>
      </c>
      <c r="W1062" s="262">
        <f>V1062*$R$33</f>
        <v>18.568064004</v>
      </c>
      <c r="X1062" s="240">
        <f>(ROUND(W1062/(1-$AA$1057),0))</f>
        <v>24</v>
      </c>
      <c r="Y1062" s="239">
        <f>Z1062*(1-$X$33)</f>
        <v>22.95</v>
      </c>
      <c r="Z1062" s="240">
        <f>ROUND(X1062/(1-$X$828),0)</f>
        <v>45</v>
      </c>
      <c r="AA1062" s="264">
        <f>((X1062-W1062)/X1062)*100%</f>
        <v>0.2263306665</v>
      </c>
      <c r="AB1062" s="241">
        <f>((Y1062-W1062)/Y1062)*100%</f>
        <v>0.19093403032679737</v>
      </c>
      <c r="AC1062" s="242">
        <f>((N1062/Y1062)-1)*100%</f>
        <v>1.3747276688453161</v>
      </c>
      <c r="AD1062" s="266">
        <f>((N1062*0.96-W1062)/(N1062*0.96))*100%</f>
        <v>0.64510581032110093</v>
      </c>
      <c r="AE1062" s="261">
        <f>N1062/$R$33</f>
        <v>1.1587608700274274</v>
      </c>
      <c r="AF1062" s="239">
        <f>(V1062/(1-$AA$1057))</f>
        <v>0.50613846153846154</v>
      </c>
      <c r="AG1062" s="1868">
        <v>0.96</v>
      </c>
      <c r="AH1062" s="267">
        <f>((AF1062-V1062)/AF1062)*100%</f>
        <v>0.22000000000000006</v>
      </c>
      <c r="AI1062" s="77">
        <f>AJ1062/$AJ$1063</f>
        <v>8.8581211850528516E-2</v>
      </c>
      <c r="AJ1062" s="333">
        <f>[1]Статистика!D299</f>
        <v>595</v>
      </c>
      <c r="AK1062" s="270">
        <f>Q1062*S1062*AJ1062</f>
        <v>-24.915985952758938</v>
      </c>
      <c r="AL1062" s="506">
        <f>AK1062/$AK$1063</f>
        <v>0.14023227869015445</v>
      </c>
      <c r="AM1062" s="77">
        <f>AJ1062/$AJ$1101</f>
        <v>7.9956460683594142E-4</v>
      </c>
      <c r="AN1062" s="77">
        <f>AK1062/$AK$1101</f>
        <v>3.2678274641225754E-4</v>
      </c>
      <c r="AO1062" s="13"/>
      <c r="AP1062" s="13"/>
    </row>
    <row r="1063" spans="1:42" ht="15.75" thickBot="1">
      <c r="A1063" s="187"/>
      <c r="J1063" s="532"/>
      <c r="K1063" s="533"/>
      <c r="P1063" s="886"/>
      <c r="Q1063" s="1091"/>
      <c r="R1063" s="1092"/>
      <c r="S1063" s="364"/>
      <c r="T1063" s="364"/>
      <c r="U1063" s="872"/>
      <c r="V1063" s="872"/>
      <c r="W1063" s="872"/>
      <c r="X1063" s="872"/>
      <c r="Y1063" s="872"/>
      <c r="Z1063" s="872"/>
      <c r="AA1063" s="364"/>
      <c r="AB1063" s="364"/>
      <c r="AC1063" s="364"/>
      <c r="AD1063" s="364">
        <f>AVERAGE(AD1059:AD1062)</f>
        <v>0.60615495415096232</v>
      </c>
      <c r="AE1063" s="872"/>
      <c r="AF1063" s="872"/>
      <c r="AG1063" s="1882"/>
      <c r="AH1063" s="364"/>
      <c r="AI1063" s="512">
        <f>S1059*AI1059+S1060*AI1060+S1061*AI1061+S1062*AI1062</f>
        <v>-0.1231161052655321</v>
      </c>
      <c r="AJ1063" s="513">
        <f>SUM(AJ1059:AJ1062)</f>
        <v>6717</v>
      </c>
      <c r="AK1063" s="514">
        <f>SUM(AK1059:AK1062)</f>
        <v>-177.67653913555253</v>
      </c>
      <c r="AM1063" s="307">
        <f>SUM(AM1059:AM1062)</f>
        <v>9.0263453178437304E-3</v>
      </c>
      <c r="AN1063" s="307">
        <f>SUM(AN1059:AN1062)</f>
        <v>2.3302962018772397E-3</v>
      </c>
      <c r="AO1063" s="13"/>
      <c r="AP1063" s="13"/>
    </row>
    <row r="1064" spans="1:42">
      <c r="A1064" s="149" t="s">
        <v>48</v>
      </c>
      <c r="C1064" s="157" t="s">
        <v>49</v>
      </c>
      <c r="J1064" s="532"/>
      <c r="K1064" s="533"/>
      <c r="AO1064" s="13"/>
      <c r="AP1064" s="13"/>
    </row>
    <row r="1065" spans="1:42" ht="15.75" thickBot="1">
      <c r="A1065" s="187"/>
      <c r="B1065" s="157"/>
      <c r="C1065" s="148" t="s">
        <v>9</v>
      </c>
      <c r="J1065" s="532"/>
      <c r="K1065" s="2309" t="s">
        <v>1454</v>
      </c>
      <c r="L1065" s="2309"/>
      <c r="M1065" s="2309"/>
      <c r="N1065" s="2309"/>
      <c r="O1065" s="2309"/>
      <c r="P1065" s="1852"/>
      <c r="T1065" s="1851"/>
      <c r="U1065" s="309"/>
      <c r="V1065" s="309"/>
      <c r="W1065" s="309"/>
      <c r="X1065" s="309"/>
      <c r="Y1065" s="309"/>
      <c r="Z1065" s="309"/>
      <c r="AA1065" s="346">
        <v>0.19</v>
      </c>
      <c r="AB1065" s="628"/>
      <c r="AC1065" s="628"/>
      <c r="AD1065" s="585"/>
      <c r="AE1065" s="188"/>
      <c r="AF1065" s="188"/>
      <c r="AG1065" s="1866"/>
      <c r="AH1065" s="1851"/>
      <c r="AO1065" s="13"/>
      <c r="AP1065" s="13"/>
    </row>
    <row r="1066" spans="1:42" ht="36.75" thickBot="1">
      <c r="A1066" s="187"/>
      <c r="B1066" s="369" t="s">
        <v>10</v>
      </c>
      <c r="C1066" s="1334" t="s">
        <v>11</v>
      </c>
      <c r="D1066" s="370" t="s">
        <v>12</v>
      </c>
      <c r="E1066" s="370" t="s">
        <v>13</v>
      </c>
      <c r="F1066" s="370" t="s">
        <v>14</v>
      </c>
      <c r="G1066" s="371" t="s">
        <v>15</v>
      </c>
      <c r="H1066" s="372" t="s">
        <v>1090</v>
      </c>
      <c r="I1066" s="372">
        <f>$C$20</f>
        <v>0.49</v>
      </c>
      <c r="J1066" s="684">
        <f>$C$20</f>
        <v>0.49</v>
      </c>
      <c r="K1066" s="548" t="s">
        <v>15</v>
      </c>
      <c r="L1066" s="423" t="s">
        <v>12</v>
      </c>
      <c r="M1066" s="196" t="s">
        <v>1091</v>
      </c>
      <c r="N1066" s="549" t="s">
        <v>993</v>
      </c>
      <c r="O1066" s="424" t="s">
        <v>1092</v>
      </c>
      <c r="P1066" s="772" t="s">
        <v>1092</v>
      </c>
      <c r="Q1066" s="200" t="s">
        <v>1093</v>
      </c>
      <c r="R1066" s="201" t="s">
        <v>1094</v>
      </c>
      <c r="S1066" s="350" t="s">
        <v>1095</v>
      </c>
      <c r="T1066" s="203" t="s">
        <v>1095</v>
      </c>
      <c r="U1066" s="204" t="s">
        <v>1096</v>
      </c>
      <c r="V1066" s="205" t="s">
        <v>1093</v>
      </c>
      <c r="W1066" s="206" t="s">
        <v>1094</v>
      </c>
      <c r="X1066" s="207" t="s">
        <v>1097</v>
      </c>
      <c r="Y1066" s="208">
        <v>0.49</v>
      </c>
      <c r="Z1066" s="207" t="s">
        <v>1098</v>
      </c>
      <c r="AA1066" s="209" t="s">
        <v>1099</v>
      </c>
      <c r="AB1066" s="209" t="s">
        <v>1100</v>
      </c>
      <c r="AC1066" s="210" t="s">
        <v>1092</v>
      </c>
      <c r="AD1066" s="211" t="s">
        <v>1101</v>
      </c>
      <c r="AE1066" s="212" t="s">
        <v>1102</v>
      </c>
      <c r="AF1066" s="208" t="s">
        <v>1103</v>
      </c>
      <c r="AG1066" s="1867" t="s">
        <v>1104</v>
      </c>
      <c r="AH1066" s="213" t="s">
        <v>1105</v>
      </c>
      <c r="AJ1066" s="483" t="s">
        <v>1107</v>
      </c>
      <c r="AK1066" s="484" t="s">
        <v>1108</v>
      </c>
      <c r="AM1066" s="219" t="s">
        <v>1175</v>
      </c>
      <c r="AN1066" s="219" t="s">
        <v>1176</v>
      </c>
      <c r="AO1066" s="13"/>
      <c r="AP1066" s="13"/>
    </row>
    <row r="1067" spans="1:42" ht="16.5" thickBot="1">
      <c r="A1067" s="187"/>
      <c r="B1067" s="753" t="s">
        <v>278</v>
      </c>
      <c r="C1067" s="1416" t="s">
        <v>190</v>
      </c>
      <c r="D1067" s="755">
        <v>86</v>
      </c>
      <c r="E1067" s="755">
        <v>10</v>
      </c>
      <c r="F1067" s="755">
        <v>200</v>
      </c>
      <c r="G1067" s="756">
        <v>87.331179673516502</v>
      </c>
      <c r="H1067" s="488">
        <f>G1067*(1+$H$33)</f>
        <v>93.444362250662664</v>
      </c>
      <c r="I1067" s="488">
        <f>H1067-H1067*$J$833</f>
        <v>47.656624747837959</v>
      </c>
      <c r="J1067" s="1040">
        <f>G1067-G1067*$J$833</f>
        <v>44.538901633493417</v>
      </c>
      <c r="K1067" s="340">
        <v>127</v>
      </c>
      <c r="L1067" s="341">
        <v>93</v>
      </c>
      <c r="M1067" s="896">
        <f>L1067/D1067*100%</f>
        <v>1.0813953488372092</v>
      </c>
      <c r="N1067" s="390">
        <f>K1067-(K1067*$O$33)</f>
        <v>63.5</v>
      </c>
      <c r="O1067" s="363">
        <f>((N1067/J1067)-1)*100%</f>
        <v>0.4257199363050248</v>
      </c>
      <c r="P1067" s="1728">
        <f>((N1067/I1067)-1)*100%</f>
        <v>0.33244853860282686</v>
      </c>
      <c r="Q1067" s="234">
        <v>1.0007025761124122</v>
      </c>
      <c r="R1067" s="235">
        <f>Q1067*$R$33</f>
        <v>47.066044262295087</v>
      </c>
      <c r="S1067" s="236">
        <f>((J1067-R1067)/J1067)*100%</f>
        <v>-5.6740120122343772E-2</v>
      </c>
      <c r="T1067" s="237">
        <f>((I1067-R1067)/I1067)*100%</f>
        <v>1.2392411100613364E-2</v>
      </c>
      <c r="U1067" s="238">
        <v>0.83724999999999994</v>
      </c>
      <c r="V1067" s="239">
        <f>U1067*$X$31</f>
        <v>1.0046999999999999</v>
      </c>
      <c r="W1067" s="239">
        <f>V1067*$R$33</f>
        <v>47.254055099999995</v>
      </c>
      <c r="X1067" s="240">
        <f>(ROUND(W1067/(1-$AA$1038),0))</f>
        <v>58</v>
      </c>
      <c r="Y1067" s="239">
        <f>Z1067*(1-$X$33)</f>
        <v>55.59</v>
      </c>
      <c r="Z1067" s="240">
        <f>ROUND(X1067/(1-$X$828),0)</f>
        <v>109</v>
      </c>
      <c r="AA1067" s="241">
        <f>((X1067-W1067)/X1067)*100%</f>
        <v>0.1852749120689656</v>
      </c>
      <c r="AB1067" s="241">
        <f>((Y1067-W1067)/Y1067)*100%</f>
        <v>0.14995403669724786</v>
      </c>
      <c r="AC1067" s="1198">
        <f>((N1067/Y1067)-1)*100%</f>
        <v>0.14229177909695978</v>
      </c>
      <c r="AD1067" s="243">
        <f>((N1067*0.96-W1067)/(N1067*0.96))*100%</f>
        <v>0.22483505413385835</v>
      </c>
      <c r="AE1067" s="238">
        <f>N1067/$R$33</f>
        <v>1.3501158760870027</v>
      </c>
      <c r="AF1067" s="239">
        <f>(V1067/(1-$AA$1038))</f>
        <v>1.2403703703703701</v>
      </c>
      <c r="AG1067" s="1868">
        <f>AF1067/(1-$X$828)</f>
        <v>2.340321453529</v>
      </c>
      <c r="AH1067" s="244">
        <f>((AF1067-V1067)/AF1067)*100%</f>
        <v>0.18999999999999989</v>
      </c>
      <c r="AJ1067" s="1480">
        <f>[1]Статистика!D350</f>
        <v>1036</v>
      </c>
      <c r="AK1067" s="76">
        <f>AJ1067*Q1067*S1067</f>
        <v>-58.824063812869987</v>
      </c>
      <c r="AM1067" s="499">
        <f>AJ1067/$AJ$1101</f>
        <v>1.3921830801378746E-3</v>
      </c>
      <c r="AN1067" s="499">
        <f>AK1067/$AK$1101</f>
        <v>7.7150023941842155E-4</v>
      </c>
      <c r="AO1067" s="13"/>
      <c r="AP1067" s="13"/>
    </row>
    <row r="1068" spans="1:42" ht="19.5" thickBot="1">
      <c r="A1068" s="187"/>
      <c r="B1068" s="413"/>
      <c r="C1068" s="414"/>
      <c r="D1068" s="414"/>
      <c r="E1068" s="414"/>
      <c r="F1068" s="414"/>
      <c r="G1068" s="827"/>
      <c r="H1068" s="785"/>
      <c r="I1068" s="785"/>
      <c r="J1068" s="897"/>
      <c r="K1068" s="533"/>
      <c r="P1068" s="1729"/>
      <c r="AO1068" s="13"/>
      <c r="AP1068" s="13"/>
    </row>
    <row r="1069" spans="1:42">
      <c r="A1069" s="187"/>
      <c r="B1069" s="413"/>
      <c r="C1069" s="414"/>
      <c r="D1069" s="414"/>
      <c r="E1069" s="414"/>
      <c r="F1069" s="414"/>
      <c r="G1069" s="827"/>
      <c r="H1069" s="785"/>
      <c r="I1069" s="785"/>
      <c r="J1069" s="897"/>
      <c r="K1069" s="533"/>
      <c r="AO1069" s="13"/>
      <c r="AP1069" s="13"/>
    </row>
    <row r="1070" spans="1:42">
      <c r="A1070" s="187"/>
      <c r="J1070" s="532"/>
      <c r="K1070" s="533"/>
      <c r="AO1070" s="13"/>
      <c r="AP1070" s="13"/>
    </row>
    <row r="1071" spans="1:42">
      <c r="A1071" s="149" t="s">
        <v>50</v>
      </c>
      <c r="C1071" s="157" t="s">
        <v>51</v>
      </c>
      <c r="J1071" s="532"/>
      <c r="K1071" s="533"/>
      <c r="AO1071" s="13"/>
      <c r="AP1071" s="13"/>
    </row>
    <row r="1072" spans="1:42" ht="15.75" thickBot="1">
      <c r="A1072" s="187"/>
      <c r="B1072" s="157"/>
      <c r="C1072" s="148" t="s">
        <v>52</v>
      </c>
      <c r="J1072" s="532"/>
      <c r="K1072" s="2309" t="s">
        <v>1455</v>
      </c>
      <c r="L1072" s="2309"/>
      <c r="M1072" s="2309"/>
      <c r="N1072" s="2309"/>
      <c r="O1072" s="2309"/>
      <c r="P1072" s="1852"/>
      <c r="T1072" s="1851"/>
      <c r="U1072" s="309"/>
      <c r="V1072" s="309"/>
      <c r="W1072" s="309"/>
      <c r="X1072" s="309"/>
      <c r="Y1072" s="309"/>
      <c r="Z1072" s="309"/>
      <c r="AA1072" s="346">
        <v>0.08</v>
      </c>
      <c r="AB1072" s="628"/>
      <c r="AC1072" s="628"/>
      <c r="AD1072" s="585"/>
      <c r="AE1072" s="188"/>
      <c r="AF1072" s="188"/>
      <c r="AG1072" s="1866"/>
      <c r="AH1072" s="1851"/>
      <c r="AO1072" s="13"/>
      <c r="AP1072" s="13"/>
    </row>
    <row r="1073" spans="1:42" ht="36.75" thickBot="1">
      <c r="A1073" s="187"/>
      <c r="B1073" s="369" t="s">
        <v>10</v>
      </c>
      <c r="C1073" s="1334" t="s">
        <v>11</v>
      </c>
      <c r="D1073" s="370" t="s">
        <v>12</v>
      </c>
      <c r="E1073" s="370" t="s">
        <v>13</v>
      </c>
      <c r="F1073" s="370" t="s">
        <v>14</v>
      </c>
      <c r="G1073" s="371" t="s">
        <v>15</v>
      </c>
      <c r="H1073" s="372" t="s">
        <v>1090</v>
      </c>
      <c r="I1073" s="372">
        <f>$C$20</f>
        <v>0.49</v>
      </c>
      <c r="J1073" s="684">
        <f>$C$20</f>
        <v>0.49</v>
      </c>
      <c r="K1073" s="548" t="s">
        <v>15</v>
      </c>
      <c r="L1073" s="423" t="s">
        <v>12</v>
      </c>
      <c r="M1073" s="196" t="s">
        <v>1091</v>
      </c>
      <c r="N1073" s="549" t="s">
        <v>993</v>
      </c>
      <c r="O1073" s="424" t="s">
        <v>1092</v>
      </c>
      <c r="P1073" s="772" t="s">
        <v>1092</v>
      </c>
      <c r="Q1073" s="200" t="s">
        <v>1093</v>
      </c>
      <c r="R1073" s="201" t="s">
        <v>1094</v>
      </c>
      <c r="S1073" s="350" t="s">
        <v>1095</v>
      </c>
      <c r="T1073" s="203" t="s">
        <v>1095</v>
      </c>
      <c r="U1073" s="204" t="s">
        <v>1096</v>
      </c>
      <c r="V1073" s="205" t="s">
        <v>1093</v>
      </c>
      <c r="W1073" s="206" t="s">
        <v>1094</v>
      </c>
      <c r="X1073" s="207" t="s">
        <v>1097</v>
      </c>
      <c r="Y1073" s="208">
        <v>0.49</v>
      </c>
      <c r="Z1073" s="207" t="s">
        <v>1098</v>
      </c>
      <c r="AA1073" s="209" t="s">
        <v>1099</v>
      </c>
      <c r="AB1073" s="209" t="s">
        <v>1100</v>
      </c>
      <c r="AC1073" s="210" t="s">
        <v>1092</v>
      </c>
      <c r="AD1073" s="211" t="s">
        <v>1101</v>
      </c>
      <c r="AE1073" s="212" t="s">
        <v>1102</v>
      </c>
      <c r="AF1073" s="208" t="s">
        <v>1103</v>
      </c>
      <c r="AG1073" s="1867" t="s">
        <v>1104</v>
      </c>
      <c r="AH1073" s="213" t="s">
        <v>1105</v>
      </c>
      <c r="AJ1073" s="483" t="s">
        <v>1107</v>
      </c>
      <c r="AK1073" s="484" t="s">
        <v>1108</v>
      </c>
      <c r="AM1073" s="219" t="s">
        <v>1175</v>
      </c>
      <c r="AN1073" s="219" t="s">
        <v>1176</v>
      </c>
      <c r="AO1073" s="13"/>
      <c r="AP1073" s="13"/>
    </row>
    <row r="1074" spans="1:42" ht="16.5" thickBot="1">
      <c r="A1074" s="187"/>
      <c r="B1074" s="753" t="s">
        <v>279</v>
      </c>
      <c r="C1074" s="1416" t="s">
        <v>190</v>
      </c>
      <c r="D1074" s="755">
        <v>130</v>
      </c>
      <c r="E1074" s="755">
        <v>10</v>
      </c>
      <c r="F1074" s="755">
        <v>150</v>
      </c>
      <c r="G1074" s="756">
        <v>131.47661115683255</v>
      </c>
      <c r="H1074" s="488">
        <f>G1074*(1+$H$33)</f>
        <v>140.67997393781084</v>
      </c>
      <c r="I1074" s="488">
        <f>H1074-H1074*$J$833</f>
        <v>71.746786708283537</v>
      </c>
      <c r="J1074" s="1040">
        <f>G1074-G1074*$J$833</f>
        <v>67.053071689984606</v>
      </c>
      <c r="K1074" s="279">
        <v>140</v>
      </c>
      <c r="L1074" s="341">
        <v>98</v>
      </c>
      <c r="M1074" s="896">
        <f>L1074/D1074*100%</f>
        <v>0.75384615384615383</v>
      </c>
      <c r="N1074" s="390">
        <f>K1074-(K1074*$O$33)</f>
        <v>70</v>
      </c>
      <c r="O1074" s="901">
        <f>((N1074/J1074)-1)*100%</f>
        <v>4.3949191822864053E-2</v>
      </c>
      <c r="P1074" s="1730">
        <f>((N1074/I1074)-1)*100%</f>
        <v>-2.4346549698257891E-2</v>
      </c>
      <c r="Q1074" s="234">
        <v>1.41</v>
      </c>
      <c r="R1074" s="235">
        <f>Q1074*$R$33</f>
        <v>66.31653</v>
      </c>
      <c r="S1074" s="1120">
        <f>((J1074-R1074)/J1074)*100%</f>
        <v>1.0984458600046789E-2</v>
      </c>
      <c r="T1074" s="237">
        <f>((I1074-R1074)/I1074)*100%</f>
        <v>7.56864099065859E-2</v>
      </c>
      <c r="U1074" s="238">
        <v>1.18791</v>
      </c>
      <c r="V1074" s="239">
        <f>U1074*$X$31</f>
        <v>1.425492</v>
      </c>
      <c r="W1074" s="239">
        <f>V1074*$R$33</f>
        <v>67.045165236000003</v>
      </c>
      <c r="X1074" s="240">
        <f>(ROUND(W1074/(1-$AA$1072),0))</f>
        <v>73</v>
      </c>
      <c r="Y1074" s="239">
        <f>Z1074*(1-$X$33)</f>
        <v>70.38</v>
      </c>
      <c r="Z1074" s="240">
        <f>ROUND(X1074/(1-$X$828),0)</f>
        <v>138</v>
      </c>
      <c r="AA1074" s="241">
        <f>((X1074-W1074)/X1074)*100%</f>
        <v>8.1573078958904074E-2</v>
      </c>
      <c r="AB1074" s="241">
        <f>((Y1074-W1074)/Y1074)*100%</f>
        <v>4.7383273145779954E-2</v>
      </c>
      <c r="AC1074" s="242">
        <f>((N1074/Y1074)-1)*100%</f>
        <v>-5.3992611537367896E-3</v>
      </c>
      <c r="AD1074" s="243">
        <f>((N1074*0.96-W1074)/(N1074*0.96))*100%</f>
        <v>2.3040887500000041E-3</v>
      </c>
      <c r="AE1074" s="238">
        <f>N1074/$R$33</f>
        <v>1.4883167137966959</v>
      </c>
      <c r="AF1074" s="239">
        <f>(V1074/(1-$AA$1072))</f>
        <v>1.5494478260869564</v>
      </c>
      <c r="AG1074" s="1868">
        <v>2.92</v>
      </c>
      <c r="AH1074" s="244">
        <f>((AF1074-V1074)/AF1074)*100%</f>
        <v>7.9999999999999946E-2</v>
      </c>
      <c r="AJ1074" s="1480">
        <f>[1]Статистика!D356</f>
        <v>3971</v>
      </c>
      <c r="AK1074" s="76">
        <f>AJ1074*Q1074*S1074</f>
        <v>61.503191992107972</v>
      </c>
      <c r="AM1074" s="499">
        <f>AJ1074/$AJ$1101</f>
        <v>5.3362538718412155E-3</v>
      </c>
      <c r="AN1074" s="499">
        <f>AK1074/$AK$1101</f>
        <v>-8.0663803673705094E-4</v>
      </c>
      <c r="AO1074" s="13"/>
      <c r="AP1074" s="13"/>
    </row>
    <row r="1075" spans="1:42">
      <c r="A1075" s="187"/>
      <c r="B1075" s="413"/>
      <c r="C1075" s="414"/>
      <c r="D1075" s="414"/>
      <c r="E1075" s="414"/>
      <c r="F1075" s="414"/>
      <c r="G1075" s="827"/>
      <c r="H1075" s="785"/>
      <c r="I1075" s="785"/>
      <c r="J1075" s="897"/>
      <c r="K1075" s="533"/>
      <c r="AO1075" s="13"/>
      <c r="AP1075" s="13"/>
    </row>
    <row r="1076" spans="1:42">
      <c r="A1076" s="149" t="s">
        <v>540</v>
      </c>
      <c r="C1076" s="157" t="s">
        <v>53</v>
      </c>
      <c r="J1076" s="532"/>
      <c r="K1076" s="533"/>
      <c r="AO1076" s="13"/>
      <c r="AP1076" s="13"/>
    </row>
    <row r="1077" spans="1:42" ht="15.75" thickBot="1">
      <c r="A1077" s="187"/>
      <c r="B1077" s="157"/>
      <c r="C1077" s="148" t="s">
        <v>54</v>
      </c>
      <c r="J1077" s="532"/>
      <c r="K1077" s="2309" t="s">
        <v>1456</v>
      </c>
      <c r="L1077" s="2309"/>
      <c r="M1077" s="2309"/>
      <c r="N1077" s="2309"/>
      <c r="O1077" s="2309"/>
      <c r="P1077" s="1852"/>
      <c r="T1077" s="1851"/>
      <c r="U1077" s="309"/>
      <c r="V1077" s="309"/>
      <c r="W1077" s="309"/>
      <c r="X1077" s="309"/>
      <c r="Y1077" s="309"/>
      <c r="Z1077" s="309"/>
      <c r="AA1077" s="346">
        <v>0.14000000000000001</v>
      </c>
      <c r="AB1077" s="628"/>
      <c r="AC1077" s="628"/>
      <c r="AD1077" s="585"/>
      <c r="AE1077" s="188"/>
      <c r="AF1077" s="188"/>
      <c r="AG1077" s="1866"/>
      <c r="AH1077" s="1851"/>
      <c r="AO1077" s="13"/>
      <c r="AP1077" s="13"/>
    </row>
    <row r="1078" spans="1:42" ht="36.75" thickBot="1">
      <c r="A1078" s="187"/>
      <c r="B1078" s="369" t="s">
        <v>10</v>
      </c>
      <c r="C1078" s="1334" t="s">
        <v>11</v>
      </c>
      <c r="D1078" s="370" t="s">
        <v>12</v>
      </c>
      <c r="E1078" s="370" t="s">
        <v>13</v>
      </c>
      <c r="F1078" s="370" t="s">
        <v>14</v>
      </c>
      <c r="G1078" s="371" t="s">
        <v>15</v>
      </c>
      <c r="H1078" s="372" t="s">
        <v>1090</v>
      </c>
      <c r="I1078" s="372">
        <f>$C$20</f>
        <v>0.49</v>
      </c>
      <c r="J1078" s="684">
        <f>$C$20</f>
        <v>0.49</v>
      </c>
      <c r="K1078" s="548" t="s">
        <v>15</v>
      </c>
      <c r="L1078" s="423" t="s">
        <v>12</v>
      </c>
      <c r="M1078" s="196" t="s">
        <v>1091</v>
      </c>
      <c r="N1078" s="549" t="s">
        <v>993</v>
      </c>
      <c r="O1078" s="424" t="s">
        <v>1092</v>
      </c>
      <c r="P1078" s="772" t="s">
        <v>1092</v>
      </c>
      <c r="Q1078" s="200" t="s">
        <v>1093</v>
      </c>
      <c r="R1078" s="201" t="s">
        <v>1094</v>
      </c>
      <c r="S1078" s="350" t="s">
        <v>1095</v>
      </c>
      <c r="T1078" s="203" t="s">
        <v>1095</v>
      </c>
      <c r="U1078" s="204" t="s">
        <v>1096</v>
      </c>
      <c r="V1078" s="205" t="s">
        <v>1093</v>
      </c>
      <c r="W1078" s="206" t="s">
        <v>1094</v>
      </c>
      <c r="X1078" s="207" t="s">
        <v>1097</v>
      </c>
      <c r="Y1078" s="208">
        <v>0.49</v>
      </c>
      <c r="Z1078" s="207" t="s">
        <v>1098</v>
      </c>
      <c r="AA1078" s="209" t="s">
        <v>1099</v>
      </c>
      <c r="AB1078" s="209" t="s">
        <v>1100</v>
      </c>
      <c r="AC1078" s="210" t="s">
        <v>1092</v>
      </c>
      <c r="AD1078" s="211" t="s">
        <v>1101</v>
      </c>
      <c r="AE1078" s="212" t="s">
        <v>1102</v>
      </c>
      <c r="AF1078" s="208" t="s">
        <v>1103</v>
      </c>
      <c r="AG1078" s="1867" t="s">
        <v>1104</v>
      </c>
      <c r="AH1078" s="213" t="s">
        <v>1105</v>
      </c>
      <c r="AJ1078" s="483" t="s">
        <v>1107</v>
      </c>
      <c r="AK1078" s="484" t="s">
        <v>1108</v>
      </c>
      <c r="AM1078" s="219" t="s">
        <v>1175</v>
      </c>
      <c r="AN1078" s="219" t="s">
        <v>1176</v>
      </c>
      <c r="AO1078" s="13"/>
      <c r="AP1078" s="13"/>
    </row>
    <row r="1079" spans="1:42" ht="16.5" thickBot="1">
      <c r="A1079" s="187"/>
      <c r="B1079" s="753" t="s">
        <v>280</v>
      </c>
      <c r="C1079" s="1416" t="s">
        <v>190</v>
      </c>
      <c r="D1079" s="755">
        <v>123</v>
      </c>
      <c r="E1079" s="755">
        <v>10</v>
      </c>
      <c r="F1079" s="755">
        <v>150</v>
      </c>
      <c r="G1079" s="756">
        <v>124.7588281050236</v>
      </c>
      <c r="H1079" s="488">
        <f>G1079*(1+$H$33)</f>
        <v>133.49194607237524</v>
      </c>
      <c r="I1079" s="488">
        <f>H1079-H1079*$J$833</f>
        <v>68.080892496911375</v>
      </c>
      <c r="J1079" s="1040">
        <f>G1079-G1079*$J$833</f>
        <v>63.627002333562032</v>
      </c>
      <c r="K1079" s="279">
        <v>145</v>
      </c>
      <c r="L1079" s="341">
        <v>98</v>
      </c>
      <c r="M1079" s="896">
        <f>L1079/D1079*100%</f>
        <v>0.7967479674796748</v>
      </c>
      <c r="N1079" s="390">
        <f>K1079-(K1079*$O$33)</f>
        <v>72.5</v>
      </c>
      <c r="O1079" s="901">
        <f>((N1079/J1079)-1)*100%</f>
        <v>0.1394533349209448</v>
      </c>
      <c r="P1079" s="199">
        <f>((N1079/I1079)-1)*100%</f>
        <v>6.4909658804621406E-2</v>
      </c>
      <c r="Q1079" s="234">
        <v>1.37</v>
      </c>
      <c r="R1079" s="235">
        <f>Q1079*$R$33</f>
        <v>64.435210000000012</v>
      </c>
      <c r="S1079" s="1120">
        <f>((J1079-R1079)/J1079)*100%</f>
        <v>-1.2702274770088699E-2</v>
      </c>
      <c r="T1079" s="237">
        <f>((I1079-R1079)/I1079)*100%</f>
        <v>5.3549275915804953E-2</v>
      </c>
      <c r="U1079" s="238">
        <v>1.151465</v>
      </c>
      <c r="V1079" s="239">
        <f>U1079*$X$31</f>
        <v>1.3817579999999998</v>
      </c>
      <c r="W1079" s="239">
        <f>V1079*$R$33</f>
        <v>64.988224013999996</v>
      </c>
      <c r="X1079" s="240">
        <f>(ROUND(W1079/(1-$AA$1077),0))</f>
        <v>76</v>
      </c>
      <c r="Y1079" s="239">
        <f>Z1079*(1-$X$33)</f>
        <v>72.930000000000007</v>
      </c>
      <c r="Z1079" s="240">
        <f>ROUND(X1079/(1-$X$828),0)</f>
        <v>143</v>
      </c>
      <c r="AA1079" s="241">
        <f>((X1079-W1079)/X1079)*100%</f>
        <v>0.14489178928947374</v>
      </c>
      <c r="AB1079" s="241">
        <f>((Y1079-W1079)/Y1079)*100%</f>
        <v>0.10889587256273152</v>
      </c>
      <c r="AC1079" s="1198">
        <f>((N1079/Y1079)-1)*100%</f>
        <v>-5.8960647195942517E-3</v>
      </c>
      <c r="AD1079" s="243">
        <f>((N1079*0.96-W1079)/(N1079*0.96))*100%</f>
        <v>6.6261149224137908E-2</v>
      </c>
      <c r="AE1079" s="238">
        <f>N1079/$R$33</f>
        <v>1.5414708821465779</v>
      </c>
      <c r="AF1079" s="239">
        <f>(V1079/(1-$AA$1077))</f>
        <v>1.6066953488372091</v>
      </c>
      <c r="AG1079" s="1868">
        <v>3.03</v>
      </c>
      <c r="AH1079" s="244">
        <f>((AF1079-V1079)/AF1079)*100%</f>
        <v>0.14000000000000001</v>
      </c>
      <c r="AJ1079" s="1480">
        <f>[1]Статистика!D376</f>
        <v>8409</v>
      </c>
      <c r="AK1079" s="76">
        <f>AJ1079*Q1079*S1079</f>
        <v>-146.33439710209598</v>
      </c>
      <c r="AM1079" s="499">
        <f>AJ1079/$AJ$1101</f>
        <v>1.1300065174594002E-2</v>
      </c>
      <c r="AN1079" s="499">
        <f>AK1079/$AK$1101</f>
        <v>1.9192319449156611E-3</v>
      </c>
      <c r="AO1079" s="13"/>
      <c r="AP1079" s="13"/>
    </row>
    <row r="1080" spans="1:42">
      <c r="A1080" s="187"/>
      <c r="B1080" s="413"/>
      <c r="C1080" s="414"/>
      <c r="D1080" s="414"/>
      <c r="E1080" s="414"/>
      <c r="F1080" s="414"/>
      <c r="G1080" s="827"/>
      <c r="H1080" s="785"/>
      <c r="I1080" s="785"/>
      <c r="J1080" s="897"/>
      <c r="K1080" s="533"/>
      <c r="AO1080" s="13"/>
      <c r="AP1080" s="13"/>
    </row>
    <row r="1081" spans="1:42">
      <c r="A1081" s="149" t="s">
        <v>727</v>
      </c>
      <c r="C1081" s="157" t="s">
        <v>728</v>
      </c>
      <c r="J1081" s="532"/>
      <c r="K1081" s="533"/>
      <c r="AO1081" s="13"/>
      <c r="AP1081" s="13"/>
    </row>
    <row r="1082" spans="1:42" ht="15.75" thickBot="1">
      <c r="A1082" s="187"/>
      <c r="B1082" s="157"/>
      <c r="C1082" s="148" t="s">
        <v>54</v>
      </c>
      <c r="J1082" s="532"/>
      <c r="K1082" s="2309" t="s">
        <v>1457</v>
      </c>
      <c r="L1082" s="2309"/>
      <c r="M1082" s="2309"/>
      <c r="N1082" s="2309"/>
      <c r="O1082" s="2309"/>
      <c r="P1082" s="1852"/>
      <c r="T1082" s="1851"/>
      <c r="U1082" s="309"/>
      <c r="V1082" s="309"/>
      <c r="W1082" s="309"/>
      <c r="X1082" s="309"/>
      <c r="Y1082" s="309"/>
      <c r="Z1082" s="309"/>
      <c r="AA1082" s="346">
        <v>0.13</v>
      </c>
      <c r="AB1082" s="628"/>
      <c r="AC1082" s="628"/>
      <c r="AD1082" s="585"/>
      <c r="AE1082" s="188"/>
      <c r="AF1082" s="188"/>
      <c r="AG1082" s="1866"/>
      <c r="AH1082" s="1851"/>
      <c r="AO1082" s="13"/>
      <c r="AP1082" s="13"/>
    </row>
    <row r="1083" spans="1:42" ht="36.75" thickBot="1">
      <c r="A1083" s="187"/>
      <c r="B1083" s="369" t="s">
        <v>10</v>
      </c>
      <c r="C1083" s="1334" t="s">
        <v>11</v>
      </c>
      <c r="D1083" s="370" t="s">
        <v>12</v>
      </c>
      <c r="E1083" s="370" t="s">
        <v>13</v>
      </c>
      <c r="F1083" s="370" t="s">
        <v>14</v>
      </c>
      <c r="G1083" s="371" t="s">
        <v>15</v>
      </c>
      <c r="H1083" s="372" t="s">
        <v>1090</v>
      </c>
      <c r="I1083" s="372">
        <f>$C$20</f>
        <v>0.49</v>
      </c>
      <c r="J1083" s="684">
        <f>$C$20</f>
        <v>0.49</v>
      </c>
      <c r="K1083" s="548" t="s">
        <v>15</v>
      </c>
      <c r="L1083" s="423" t="s">
        <v>12</v>
      </c>
      <c r="M1083" s="196" t="s">
        <v>1091</v>
      </c>
      <c r="N1083" s="549" t="s">
        <v>993</v>
      </c>
      <c r="O1083" s="424" t="s">
        <v>1092</v>
      </c>
      <c r="P1083" s="772" t="s">
        <v>1092</v>
      </c>
      <c r="Q1083" s="200" t="s">
        <v>1093</v>
      </c>
      <c r="R1083" s="201" t="s">
        <v>1094</v>
      </c>
      <c r="S1083" s="350" t="s">
        <v>1095</v>
      </c>
      <c r="T1083" s="203" t="s">
        <v>1095</v>
      </c>
      <c r="U1083" s="204" t="s">
        <v>1096</v>
      </c>
      <c r="V1083" s="205" t="s">
        <v>1093</v>
      </c>
      <c r="W1083" s="206" t="s">
        <v>1094</v>
      </c>
      <c r="X1083" s="207" t="s">
        <v>1097</v>
      </c>
      <c r="Y1083" s="208">
        <v>0.49</v>
      </c>
      <c r="Z1083" s="207" t="s">
        <v>1098</v>
      </c>
      <c r="AA1083" s="209" t="s">
        <v>1099</v>
      </c>
      <c r="AB1083" s="209" t="s">
        <v>1100</v>
      </c>
      <c r="AC1083" s="210" t="s">
        <v>1092</v>
      </c>
      <c r="AD1083" s="211" t="s">
        <v>1101</v>
      </c>
      <c r="AE1083" s="212" t="s">
        <v>1102</v>
      </c>
      <c r="AF1083" s="208" t="s">
        <v>1103</v>
      </c>
      <c r="AG1083" s="1867" t="s">
        <v>1104</v>
      </c>
      <c r="AH1083" s="213" t="s">
        <v>1105</v>
      </c>
      <c r="AJ1083" s="483" t="s">
        <v>1107</v>
      </c>
      <c r="AK1083" s="484" t="s">
        <v>1108</v>
      </c>
      <c r="AM1083" s="219" t="s">
        <v>1175</v>
      </c>
      <c r="AN1083" s="219" t="s">
        <v>1176</v>
      </c>
      <c r="AO1083" s="13"/>
      <c r="AP1083" s="13"/>
    </row>
    <row r="1084" spans="1:42" ht="16.5" thickBot="1">
      <c r="A1084" s="187"/>
      <c r="B1084" s="753" t="s">
        <v>1458</v>
      </c>
      <c r="C1084" s="1416" t="s">
        <v>190</v>
      </c>
      <c r="D1084" s="755">
        <v>101</v>
      </c>
      <c r="E1084" s="755">
        <v>10</v>
      </c>
      <c r="F1084" s="755">
        <v>150</v>
      </c>
      <c r="G1084" s="756">
        <v>88.47315454545452</v>
      </c>
      <c r="H1084" s="488">
        <f>G1084*(1+$H$33)</f>
        <v>94.666275363636345</v>
      </c>
      <c r="I1084" s="488">
        <f>H1084-H1084*$J$833</f>
        <v>48.27980043545454</v>
      </c>
      <c r="J1084" s="1040">
        <f>G1084-G1084*$J$833</f>
        <v>45.121308818181809</v>
      </c>
      <c r="K1084" s="279">
        <v>117</v>
      </c>
      <c r="L1084" s="341">
        <v>101</v>
      </c>
      <c r="M1084" s="896">
        <f>L1084/D1084*100%</f>
        <v>1</v>
      </c>
      <c r="N1084" s="390">
        <f>K1084-(K1084*$O$33)</f>
        <v>58.5</v>
      </c>
      <c r="O1084" s="901">
        <f>((N1084/J1084)-1)*100%</f>
        <v>0.29650494483057188</v>
      </c>
      <c r="P1084" s="1730">
        <f>((N1084/I1084)-1)*100%</f>
        <v>0.21168686432763706</v>
      </c>
      <c r="Q1084" s="234">
        <v>1.0999999999999999</v>
      </c>
      <c r="R1084" s="235">
        <f>Q1084*$R$33</f>
        <v>51.736299999999993</v>
      </c>
      <c r="S1084" s="1120">
        <f>((J1084-R1084)/J1084)*100%</f>
        <v>-0.14660459448269919</v>
      </c>
      <c r="T1084" s="237">
        <f>((I1084-R1084)/I1084)*100%</f>
        <v>-7.159307895579356E-2</v>
      </c>
      <c r="U1084" s="238">
        <v>0.92491499999999993</v>
      </c>
      <c r="V1084" s="239">
        <f>U1084*$X$31</f>
        <v>1.1098979999999998</v>
      </c>
      <c r="W1084" s="239">
        <f>V1084*$R$33</f>
        <v>52.201832633999992</v>
      </c>
      <c r="X1084" s="240">
        <f>(ROUND(W1084/(1-$AA$1082),0))</f>
        <v>60</v>
      </c>
      <c r="Y1084" s="239">
        <f>Z1084*(1-$X$33)</f>
        <v>57.63</v>
      </c>
      <c r="Z1084" s="240">
        <f>ROUND(X1084/(1-$X$828),0)</f>
        <v>113</v>
      </c>
      <c r="AA1084" s="241">
        <f>((X1084-W1084)/X1084)*100%</f>
        <v>0.12996945610000013</v>
      </c>
      <c r="AB1084" s="241">
        <f>((Y1084-W1084)/Y1084)*100%</f>
        <v>9.4189959500260462E-2</v>
      </c>
      <c r="AC1084" s="1198">
        <f>((N1084/Y1084)-1)*100%</f>
        <v>1.5096304008328953E-2</v>
      </c>
      <c r="AD1084" s="243">
        <f>((N1084*0.96-W1084)/(N1084*0.96))*100%</f>
        <v>7.0480188141025732E-2</v>
      </c>
      <c r="AE1084" s="238">
        <f>N1084/$R$33</f>
        <v>1.2438075393872388</v>
      </c>
      <c r="AF1084" s="239">
        <f>(V1084/(1-$AA$1082))</f>
        <v>1.2757448275862067</v>
      </c>
      <c r="AG1084" s="1868">
        <v>2.41</v>
      </c>
      <c r="AH1084" s="244">
        <f>((AF1084-V1084)/AF1084)*100%</f>
        <v>0.12999999999999998</v>
      </c>
      <c r="AJ1084" s="1480">
        <f>[1]Статистика!D306</f>
        <v>4655</v>
      </c>
      <c r="AK1084" s="76">
        <f>AJ1084*Q1084*S1084</f>
        <v>-750.6888260486611</v>
      </c>
      <c r="AM1084" s="499">
        <f>AJ1084/$AJ$1101</f>
        <v>6.2554172181870709E-3</v>
      </c>
      <c r="AN1084" s="499">
        <f>AK1084/$AK$1101</f>
        <v>9.8455729081839364E-3</v>
      </c>
      <c r="AO1084" s="13"/>
      <c r="AP1084" s="13"/>
    </row>
    <row r="1085" spans="1:42">
      <c r="A1085" s="187"/>
      <c r="B1085" s="413"/>
      <c r="C1085" s="414"/>
      <c r="D1085" s="414"/>
      <c r="E1085" s="414"/>
      <c r="F1085" s="414"/>
      <c r="G1085" s="827"/>
      <c r="H1085" s="785"/>
      <c r="I1085" s="785"/>
      <c r="J1085" s="897"/>
      <c r="K1085" s="533"/>
      <c r="AO1085" s="13"/>
      <c r="AP1085" s="13"/>
    </row>
    <row r="1086" spans="1:42" ht="15.75" thickBot="1">
      <c r="A1086" s="149" t="s">
        <v>1459</v>
      </c>
      <c r="B1086" s="1731"/>
      <c r="C1086" s="1732" t="s">
        <v>1460</v>
      </c>
      <c r="D1086" s="1731"/>
      <c r="E1086" s="1731"/>
      <c r="F1086" s="1731"/>
      <c r="G1086" s="1731"/>
      <c r="H1086" s="1733"/>
      <c r="I1086" s="1734"/>
      <c r="J1086" s="1735"/>
      <c r="K1086" s="2309" t="s">
        <v>1461</v>
      </c>
      <c r="L1086" s="2309"/>
      <c r="M1086" s="2309"/>
      <c r="N1086" s="2309"/>
      <c r="O1086" s="2309"/>
      <c r="P1086" s="1852"/>
      <c r="T1086" s="1851"/>
      <c r="U1086" s="309"/>
      <c r="V1086" s="309"/>
      <c r="W1086" s="309"/>
      <c r="X1086" s="309"/>
      <c r="Y1086" s="309"/>
      <c r="Z1086" s="309"/>
      <c r="AA1086" s="346">
        <v>0.13</v>
      </c>
      <c r="AB1086" s="628"/>
      <c r="AC1086" s="628"/>
      <c r="AD1086" s="585"/>
      <c r="AE1086" s="188"/>
      <c r="AF1086" s="188"/>
      <c r="AG1086" s="1866"/>
      <c r="AH1086" s="1851"/>
      <c r="AO1086" s="13"/>
      <c r="AP1086" s="13"/>
    </row>
    <row r="1087" spans="1:42" ht="60.75" thickBot="1">
      <c r="A1087" s="187"/>
      <c r="B1087" s="369" t="s">
        <v>10</v>
      </c>
      <c r="C1087" s="1334" t="s">
        <v>11</v>
      </c>
      <c r="D1087" s="370" t="s">
        <v>12</v>
      </c>
      <c r="E1087" s="370" t="s">
        <v>13</v>
      </c>
      <c r="F1087" s="370" t="s">
        <v>14</v>
      </c>
      <c r="G1087" s="371" t="s">
        <v>15</v>
      </c>
      <c r="H1087" s="372" t="s">
        <v>1090</v>
      </c>
      <c r="I1087" s="372">
        <f>$C$20</f>
        <v>0.49</v>
      </c>
      <c r="J1087" s="684">
        <f>$C$20</f>
        <v>0.49</v>
      </c>
      <c r="K1087" s="548" t="s">
        <v>15</v>
      </c>
      <c r="L1087" s="423" t="s">
        <v>12</v>
      </c>
      <c r="M1087" s="196" t="s">
        <v>1091</v>
      </c>
      <c r="N1087" s="549" t="s">
        <v>993</v>
      </c>
      <c r="O1087" s="424" t="s">
        <v>1092</v>
      </c>
      <c r="P1087" s="772" t="s">
        <v>1092</v>
      </c>
      <c r="Q1087" s="200" t="s">
        <v>1093</v>
      </c>
      <c r="R1087" s="201" t="s">
        <v>1094</v>
      </c>
      <c r="S1087" s="350" t="s">
        <v>1095</v>
      </c>
      <c r="T1087" s="203" t="s">
        <v>1095</v>
      </c>
      <c r="U1087" s="204" t="s">
        <v>1096</v>
      </c>
      <c r="V1087" s="205" t="s">
        <v>1093</v>
      </c>
      <c r="W1087" s="206" t="s">
        <v>1094</v>
      </c>
      <c r="X1087" s="207" t="s">
        <v>1097</v>
      </c>
      <c r="Y1087" s="208">
        <v>0.49</v>
      </c>
      <c r="Z1087" s="207" t="s">
        <v>1098</v>
      </c>
      <c r="AA1087" s="209" t="s">
        <v>1099</v>
      </c>
      <c r="AB1087" s="209" t="s">
        <v>1100</v>
      </c>
      <c r="AC1087" s="210" t="s">
        <v>1092</v>
      </c>
      <c r="AD1087" s="211" t="s">
        <v>1101</v>
      </c>
      <c r="AE1087" s="212" t="s">
        <v>1102</v>
      </c>
      <c r="AF1087" s="208" t="s">
        <v>1103</v>
      </c>
      <c r="AG1087" s="1867" t="s">
        <v>1104</v>
      </c>
      <c r="AH1087" s="213" t="s">
        <v>1105</v>
      </c>
      <c r="AI1087" s="220" t="s">
        <v>1106</v>
      </c>
      <c r="AJ1087" s="483" t="s">
        <v>1107</v>
      </c>
      <c r="AK1087" s="484" t="s">
        <v>1108</v>
      </c>
      <c r="AL1087" s="221" t="s">
        <v>1109</v>
      </c>
      <c r="AM1087" s="221" t="s">
        <v>1175</v>
      </c>
      <c r="AN1087" s="221" t="s">
        <v>1176</v>
      </c>
      <c r="AO1087" s="13"/>
      <c r="AP1087" s="13"/>
    </row>
    <row r="1088" spans="1:42" ht="15.75">
      <c r="A1088" s="187"/>
      <c r="B1088" s="1630" t="s">
        <v>281</v>
      </c>
      <c r="C1088" s="1736" t="s">
        <v>282</v>
      </c>
      <c r="D1088" s="1594">
        <v>25</v>
      </c>
      <c r="E1088" s="1594">
        <v>1</v>
      </c>
      <c r="F1088" s="1594">
        <v>360</v>
      </c>
      <c r="G1088" s="1594">
        <v>23.99208232788915</v>
      </c>
      <c r="H1088" s="1027">
        <f>G1088*(1+$H$33)</f>
        <v>25.671528090841392</v>
      </c>
      <c r="I1088" s="1027">
        <f>H1088-H1088*$J$833</f>
        <v>13.09247932632911</v>
      </c>
      <c r="J1088" s="1737">
        <f>G1088-G1088*$J$833</f>
        <v>12.235961987223467</v>
      </c>
      <c r="K1088" s="1738">
        <v>24</v>
      </c>
      <c r="L1088" s="929">
        <v>22</v>
      </c>
      <c r="M1088" s="495">
        <f>L1088/D1088*100%</f>
        <v>0.88</v>
      </c>
      <c r="N1088" s="496">
        <f>K1088-(K1088*$N$33)</f>
        <v>13.2</v>
      </c>
      <c r="O1088" s="1571">
        <f>((N1088/J1088)-1)*100%</f>
        <v>7.8787267709981457E-2</v>
      </c>
      <c r="P1088" s="1656">
        <f>((N1088/I1088)-1)*100%</f>
        <v>8.2123997289547113E-3</v>
      </c>
      <c r="Q1088" s="1600">
        <v>0.31578136770737425</v>
      </c>
      <c r="R1088" s="561">
        <f>Q1088*$R$33</f>
        <v>14.852145067380933</v>
      </c>
      <c r="S1088" s="562">
        <f>((J1088-R1088)/J1088)*100%</f>
        <v>-0.21381098461152698</v>
      </c>
      <c r="T1088" s="237">
        <f>((I1088-R1088)/I1088)*100%</f>
        <v>-0.13440278935656721</v>
      </c>
      <c r="U1088" s="238">
        <v>0.26400000000000001</v>
      </c>
      <c r="V1088" s="239">
        <f>U1088*$X$31</f>
        <v>0.31680000000000003</v>
      </c>
      <c r="W1088" s="239">
        <f>V1088*$R$33</f>
        <v>14.900054400000002</v>
      </c>
      <c r="X1088" s="240">
        <f>(ROUND(W1088/(1-$AA$1086),0))</f>
        <v>17</v>
      </c>
      <c r="Y1088" s="239">
        <f>Z1088*(1-$X$33)</f>
        <v>16.32</v>
      </c>
      <c r="Z1088" s="240">
        <f>ROUND(X1088/(1-$X$828),0)</f>
        <v>32</v>
      </c>
      <c r="AA1088" s="241">
        <f>((X1088-W1088)/X1088)*100%</f>
        <v>0.12352621176470577</v>
      </c>
      <c r="AB1088" s="241">
        <f>((Y1088-W1088)/Y1088)*100%</f>
        <v>8.7006470588235199E-2</v>
      </c>
      <c r="AC1088" s="265">
        <f>((N1088/Y1088)-1)*100%</f>
        <v>-0.19117647058823539</v>
      </c>
      <c r="AD1088" s="243">
        <f>((N1088*0.96-W1088)/(N1088*0.96))*100%</f>
        <v>-0.17582500000000026</v>
      </c>
      <c r="AE1088" s="238">
        <f>N1088/$R$33</f>
        <v>0.2806540088873769</v>
      </c>
      <c r="AF1088" s="239">
        <f>(V1088/(1-$AA$1086))</f>
        <v>0.36413793103448278</v>
      </c>
      <c r="AG1088" s="1868">
        <v>0.69</v>
      </c>
      <c r="AH1088" s="244">
        <f>((AF1088-V1088)/AF1088)*100%</f>
        <v>0.12999999999999998</v>
      </c>
      <c r="AI1088" s="506">
        <f>AJ1088/$AJ$1090</f>
        <v>0.47345773187810508</v>
      </c>
      <c r="AJ1088" s="333">
        <f>[1]Статистика!D377</f>
        <v>12103</v>
      </c>
      <c r="AK1088" s="270">
        <f>Q1088*S1088*AJ1088</f>
        <v>-817.16460690846338</v>
      </c>
      <c r="AL1088" s="506">
        <f>AK1088/$AK$1090</f>
        <v>0.37865266168029144</v>
      </c>
      <c r="AM1088" s="77">
        <f>AJ1088/$AJ$1101</f>
        <v>1.6264084767286385E-2</v>
      </c>
      <c r="AN1088" s="77">
        <f>AK1088/$AK$1101</f>
        <v>1.0717428361965816E-2</v>
      </c>
      <c r="AO1088" s="13"/>
      <c r="AP1088" s="13"/>
    </row>
    <row r="1089" spans="1:42" ht="16.5" thickBot="1">
      <c r="A1089" s="271"/>
      <c r="B1089" s="925" t="s">
        <v>283</v>
      </c>
      <c r="C1089" s="1739" t="s">
        <v>284</v>
      </c>
      <c r="D1089" s="926">
        <v>30</v>
      </c>
      <c r="E1089" s="926">
        <v>1</v>
      </c>
      <c r="F1089" s="926">
        <v>150</v>
      </c>
      <c r="G1089" s="926">
        <v>39.347015017738208</v>
      </c>
      <c r="H1089" s="453">
        <f>G1089*(1+$H$33)</f>
        <v>42.101306068979888</v>
      </c>
      <c r="I1089" s="1027">
        <f>H1089-H1089*$J$833</f>
        <v>21.471666095179742</v>
      </c>
      <c r="J1089" s="1737">
        <f>G1089-G1089*$J$833</f>
        <v>20.066977659046486</v>
      </c>
      <c r="K1089" s="1740">
        <v>33</v>
      </c>
      <c r="L1089" s="406">
        <v>31</v>
      </c>
      <c r="M1089" s="1015">
        <f>L1089/D1089*100%</f>
        <v>1.0333333333333334</v>
      </c>
      <c r="N1089" s="496">
        <f>K1089-(K1089*$N$33)</f>
        <v>18.149999999999999</v>
      </c>
      <c r="O1089" s="1741">
        <f>((N1089/J1089)-1)*100%</f>
        <v>-9.5528967621204552E-2</v>
      </c>
      <c r="P1089" s="1706">
        <f>((N1089/I1089)-1)*100%</f>
        <v>-0.15469996973944367</v>
      </c>
      <c r="Q1089" s="1570">
        <v>0.51</v>
      </c>
      <c r="R1089" s="650">
        <f>Q1089*$R$33</f>
        <v>23.986830000000001</v>
      </c>
      <c r="S1089" s="933">
        <f>((J1089-R1089)/J1089)*100%</f>
        <v>-0.19533845143772252</v>
      </c>
      <c r="T1089" s="260">
        <f>((I1089-R1089)/I1089)*100%</f>
        <v>-0.11713873966142282</v>
      </c>
      <c r="U1089" s="261">
        <v>0.433</v>
      </c>
      <c r="V1089" s="239">
        <f>U1089*$X$31</f>
        <v>0.51959999999999995</v>
      </c>
      <c r="W1089" s="262">
        <f>V1089*$R$33</f>
        <v>24.438346799999998</v>
      </c>
      <c r="X1089" s="240">
        <f>(ROUND(W1089/(1-$AA$1086),0))</f>
        <v>28</v>
      </c>
      <c r="Y1089" s="239">
        <f>Z1089*(1-$X$33)</f>
        <v>27.03</v>
      </c>
      <c r="Z1089" s="240">
        <f>ROUND(X1089/(1-$X$828),0)</f>
        <v>53</v>
      </c>
      <c r="AA1089" s="264">
        <f>((X1089-W1089)/X1089)*100%</f>
        <v>0.12720190000000006</v>
      </c>
      <c r="AB1089" s="241">
        <f>((Y1089-W1089)/Y1089)*100%</f>
        <v>9.5880621531631641E-2</v>
      </c>
      <c r="AC1089" s="265">
        <f>((N1089/Y1089)-1)*100%</f>
        <v>-0.32852386237513886</v>
      </c>
      <c r="AD1089" s="266">
        <f>((N1089*0.96-W1089)/(N1089*0.96))*100%</f>
        <v>-0.40256811294765832</v>
      </c>
      <c r="AE1089" s="261">
        <f>N1089/$R$33</f>
        <v>0.38589926222014326</v>
      </c>
      <c r="AF1089" s="239">
        <f>(V1089/(1-$AA$1086))</f>
        <v>0.59724137931034482</v>
      </c>
      <c r="AG1089" s="1868">
        <v>1.1299999999999999</v>
      </c>
      <c r="AH1089" s="267">
        <f>((AF1089-V1089)/AF1089)*100%</f>
        <v>0.13000000000000009</v>
      </c>
      <c r="AI1089" s="866">
        <f>AJ1089/$AJ$1090</f>
        <v>0.52654226812189497</v>
      </c>
      <c r="AJ1089" s="338">
        <f>[1]Статистика!D378</f>
        <v>13460</v>
      </c>
      <c r="AK1089" s="297">
        <f>Q1089*S1089*AJ1089</f>
        <v>-1340.9203337393899</v>
      </c>
      <c r="AL1089" s="866">
        <f>AK1089/$AK$1090</f>
        <v>0.62134733831970856</v>
      </c>
      <c r="AM1089" s="92">
        <f>AJ1089/$AJ$1101</f>
        <v>1.8087629593297096E-2</v>
      </c>
      <c r="AN1089" s="92">
        <f>AK1089/$AK$1101</f>
        <v>1.7586686322998119E-2</v>
      </c>
      <c r="AO1089" s="13"/>
      <c r="AP1089" s="13"/>
    </row>
    <row r="1090" spans="1:42" ht="15.75" thickBot="1">
      <c r="A1090" s="187"/>
      <c r="J1090" s="532"/>
      <c r="K1090" s="533"/>
      <c r="P1090" s="1742"/>
      <c r="Q1090" s="1091"/>
      <c r="R1090" s="1092"/>
      <c r="S1090" s="364"/>
      <c r="T1090" s="364"/>
      <c r="U1090" s="872"/>
      <c r="V1090" s="872"/>
      <c r="W1090" s="872"/>
      <c r="X1090" s="872"/>
      <c r="Y1090" s="872"/>
      <c r="Z1090" s="872"/>
      <c r="AA1090" s="364"/>
      <c r="AB1090" s="364"/>
      <c r="AC1090" s="364"/>
      <c r="AD1090" s="364">
        <f>AVERAGE(AD1088:AD1089)</f>
        <v>-0.2891965564738293</v>
      </c>
      <c r="AE1090" s="872"/>
      <c r="AF1090" s="872"/>
      <c r="AG1090" s="1882"/>
      <c r="AH1090" s="364"/>
      <c r="AI1090" s="512">
        <f>S1088*AI1088+S1089*AI1089</f>
        <v>-0.20408441509623504</v>
      </c>
      <c r="AJ1090" s="513">
        <f>SUM(AJ1088:AJ1089)</f>
        <v>25563</v>
      </c>
      <c r="AK1090" s="514">
        <f>SUM(AK1088:AK1089)</f>
        <v>-2158.0849406478533</v>
      </c>
      <c r="AM1090" s="307">
        <f>SUM(AM1088:AM1089)</f>
        <v>3.4351714360583485E-2</v>
      </c>
      <c r="AN1090" s="307">
        <f>SUM(AN1088:AN1089)</f>
        <v>2.8304114684963935E-2</v>
      </c>
      <c r="AO1090" s="13"/>
      <c r="AP1090" s="13"/>
    </row>
    <row r="1091" spans="1:42" ht="15.75">
      <c r="A1091" s="934"/>
      <c r="B1091" s="187"/>
      <c r="C1091" s="149" t="s">
        <v>988</v>
      </c>
      <c r="D1091" s="1175"/>
      <c r="E1091" s="940"/>
      <c r="F1091" s="17"/>
      <c r="G1091" s="17"/>
      <c r="J1091" s="532"/>
      <c r="K1091" s="533"/>
      <c r="P1091" s="1743"/>
      <c r="Q1091" s="1091"/>
      <c r="R1091" s="1092"/>
      <c r="S1091" s="364"/>
      <c r="T1091" s="364"/>
      <c r="U1091" s="872"/>
      <c r="V1091" s="872"/>
      <c r="W1091" s="872"/>
      <c r="X1091" s="872"/>
      <c r="Y1091" s="872"/>
      <c r="Z1091" s="872"/>
      <c r="AA1091" s="364"/>
      <c r="AB1091" s="364"/>
      <c r="AC1091" s="364"/>
      <c r="AD1091" s="364"/>
      <c r="AE1091" s="872"/>
      <c r="AF1091" s="872"/>
      <c r="AG1091" s="1882"/>
      <c r="AH1091" s="364"/>
      <c r="AI1091" s="512"/>
      <c r="AJ1091" s="513"/>
      <c r="AK1091" s="514"/>
      <c r="AM1091" s="307"/>
      <c r="AN1091" s="307"/>
      <c r="AO1091" s="13"/>
      <c r="AP1091" s="13"/>
    </row>
    <row r="1092" spans="1:42" ht="15.75" thickBot="1">
      <c r="A1092" s="149" t="s">
        <v>992</v>
      </c>
      <c r="B1092" s="149"/>
      <c r="C1092" s="187" t="s">
        <v>699</v>
      </c>
      <c r="D1092" s="187"/>
      <c r="E1092" s="187"/>
      <c r="F1092" s="934"/>
      <c r="G1092" s="187"/>
      <c r="J1092" s="532"/>
      <c r="K1092" s="2309" t="s">
        <v>1462</v>
      </c>
      <c r="L1092" s="2309"/>
      <c r="M1092" s="2309"/>
      <c r="N1092" s="2309"/>
      <c r="O1092" s="2309"/>
      <c r="P1092" s="1743"/>
      <c r="Q1092" s="1091"/>
      <c r="R1092" s="1092"/>
      <c r="S1092" s="364"/>
      <c r="T1092" s="364"/>
      <c r="U1092" s="872"/>
      <c r="V1092" s="872"/>
      <c r="W1092" s="872"/>
      <c r="X1092" s="872"/>
      <c r="Y1092" s="872"/>
      <c r="Z1092" s="872"/>
      <c r="AA1092" s="364">
        <v>0.22</v>
      </c>
      <c r="AB1092" s="364"/>
      <c r="AC1092" s="364"/>
      <c r="AD1092" s="364"/>
      <c r="AE1092" s="872"/>
      <c r="AF1092" s="872"/>
      <c r="AG1092" s="1882"/>
      <c r="AH1092" s="364"/>
      <c r="AI1092" s="512"/>
      <c r="AJ1092" s="513"/>
      <c r="AK1092" s="514"/>
      <c r="AM1092" s="307"/>
      <c r="AN1092" s="307"/>
      <c r="AO1092" s="13"/>
      <c r="AP1092" s="13"/>
    </row>
    <row r="1093" spans="1:42" ht="36.75" thickBot="1">
      <c r="A1093" s="934"/>
      <c r="B1093" s="629" t="s">
        <v>10</v>
      </c>
      <c r="C1093" s="1176" t="s">
        <v>11</v>
      </c>
      <c r="D1093" s="631" t="s">
        <v>12</v>
      </c>
      <c r="E1093" s="631" t="s">
        <v>13</v>
      </c>
      <c r="F1093" s="370" t="s">
        <v>14</v>
      </c>
      <c r="H1093" s="1083" t="s">
        <v>1090</v>
      </c>
      <c r="I1093" s="1744">
        <f>$C$20</f>
        <v>0.49</v>
      </c>
      <c r="J1093" s="532"/>
      <c r="K1093" s="548" t="s">
        <v>15</v>
      </c>
      <c r="L1093" s="423" t="s">
        <v>12</v>
      </c>
      <c r="M1093" s="196" t="s">
        <v>1091</v>
      </c>
      <c r="N1093" s="549" t="s">
        <v>993</v>
      </c>
      <c r="O1093" s="424" t="s">
        <v>1092</v>
      </c>
      <c r="P1093" s="772" t="s">
        <v>1092</v>
      </c>
      <c r="Q1093" s="875" t="s">
        <v>1093</v>
      </c>
      <c r="R1093" s="876" t="s">
        <v>1094</v>
      </c>
      <c r="S1093" s="1126" t="s">
        <v>1095</v>
      </c>
      <c r="T1093" s="1708" t="s">
        <v>1095</v>
      </c>
      <c r="U1093" s="1344" t="s">
        <v>1096</v>
      </c>
      <c r="V1093" s="1345" t="s">
        <v>1093</v>
      </c>
      <c r="W1093" s="1346" t="s">
        <v>1094</v>
      </c>
      <c r="X1093" s="1347" t="s">
        <v>1097</v>
      </c>
      <c r="Y1093" s="1348">
        <v>0.49</v>
      </c>
      <c r="Z1093" s="1347" t="s">
        <v>1098</v>
      </c>
      <c r="AA1093" s="1349" t="s">
        <v>1099</v>
      </c>
      <c r="AB1093" s="1349" t="s">
        <v>1100</v>
      </c>
      <c r="AC1093" s="1350" t="s">
        <v>1092</v>
      </c>
      <c r="AD1093" s="1351" t="s">
        <v>1101</v>
      </c>
      <c r="AE1093" s="1664" t="s">
        <v>1102</v>
      </c>
      <c r="AF1093" s="1348" t="s">
        <v>1103</v>
      </c>
      <c r="AG1093" s="1895" t="s">
        <v>1104</v>
      </c>
      <c r="AH1093" s="1352" t="s">
        <v>1105</v>
      </c>
      <c r="AI1093" s="512"/>
      <c r="AJ1093" s="513"/>
      <c r="AK1093" s="514"/>
      <c r="AM1093" s="307"/>
      <c r="AN1093" s="307"/>
      <c r="AO1093" s="13"/>
      <c r="AP1093" s="13"/>
    </row>
    <row r="1094" spans="1:42" ht="16.5" thickBot="1">
      <c r="A1094" s="934"/>
      <c r="B1094" s="1177" t="s">
        <v>989</v>
      </c>
      <c r="C1094" s="1178" t="s">
        <v>804</v>
      </c>
      <c r="D1094" s="1069">
        <v>140</v>
      </c>
      <c r="E1094" s="1069">
        <v>1</v>
      </c>
      <c r="F1094" s="755">
        <v>100</v>
      </c>
      <c r="H1094" s="1745">
        <v>149</v>
      </c>
      <c r="I1094" s="1746">
        <f>H1094-H1094*$J$833</f>
        <v>75.989999999999995</v>
      </c>
      <c r="J1094" s="532"/>
      <c r="K1094" s="1738">
        <v>193</v>
      </c>
      <c r="L1094" s="929">
        <v>176</v>
      </c>
      <c r="M1094" s="495">
        <f>L1094/D1094*100%</f>
        <v>1.2571428571428571</v>
      </c>
      <c r="N1094" s="496">
        <f>K1094-(K1094*$N$33)</f>
        <v>106.14999999999999</v>
      </c>
      <c r="O1094" s="1571"/>
      <c r="P1094" s="1747">
        <f>((N1094/I1094)-1)*100%</f>
        <v>0.39689432820107906</v>
      </c>
      <c r="Q1094" s="1748">
        <v>1.5696000000000001</v>
      </c>
      <c r="R1094" s="1749">
        <f>Q1094*$R$33</f>
        <v>73.822996800000013</v>
      </c>
      <c r="S1094" s="1750"/>
      <c r="T1094" s="1048">
        <f>((I1094-R1094)/I1094)*100%</f>
        <v>2.8516952230556419E-2</v>
      </c>
      <c r="U1094" s="261" t="s">
        <v>1463</v>
      </c>
      <c r="V1094" s="262">
        <f>U1094*$X$31</f>
        <v>1.5696000000000001</v>
      </c>
      <c r="W1094" s="262">
        <f>V1094*$R$33</f>
        <v>73.822996800000013</v>
      </c>
      <c r="X1094" s="263">
        <f>(ROUND(W1094/(1-$AA$1092),0))</f>
        <v>95</v>
      </c>
      <c r="Y1094" s="262">
        <f>Z1094*(1-$X$33)</f>
        <v>91.29</v>
      </c>
      <c r="Z1094" s="263">
        <f>ROUND(X1094/(1-$X$828),0)</f>
        <v>179</v>
      </c>
      <c r="AA1094" s="264">
        <f>((X1094-W1094)/X1094)*100%</f>
        <v>0.2229158231578946</v>
      </c>
      <c r="AB1094" s="264">
        <f>((Y1094-W1094)/Y1094)*100%</f>
        <v>0.19133534012487668</v>
      </c>
      <c r="AC1094" s="1675">
        <f>((N1094/Y1094)-1)*100%</f>
        <v>0.16277796034614944</v>
      </c>
      <c r="AD1094" s="266">
        <f>((N1094*0.96-W1094)/(N1094*0.96))*100%</f>
        <v>0.27556330664154471</v>
      </c>
      <c r="AE1094" s="261">
        <f>N1094/$R$33</f>
        <v>2.2569259881359893</v>
      </c>
      <c r="AF1094" s="262">
        <f>(V1094/(1-$AA$1092))</f>
        <v>2.0123076923076924</v>
      </c>
      <c r="AG1094" s="1869">
        <v>3.8</v>
      </c>
      <c r="AH1094" s="264">
        <f>((AF1094-V1094)/AF1094)*100%</f>
        <v>0.21999999999999997</v>
      </c>
      <c r="AI1094" s="512"/>
      <c r="AJ1094" s="513"/>
      <c r="AK1094" s="514"/>
      <c r="AM1094" s="307"/>
      <c r="AN1094" s="307"/>
      <c r="AO1094" s="13"/>
      <c r="AP1094" s="13"/>
    </row>
    <row r="1095" spans="1:42" ht="15.75">
      <c r="A1095" s="149" t="s">
        <v>801</v>
      </c>
      <c r="B1095" s="187"/>
      <c r="C1095" s="149" t="s">
        <v>802</v>
      </c>
      <c r="D1095" s="187"/>
      <c r="E1095" s="187"/>
      <c r="F1095" s="1175"/>
      <c r="G1095" s="934"/>
      <c r="H1095" s="530"/>
      <c r="I1095" s="587"/>
      <c r="J1095" s="1751"/>
      <c r="AO1095" s="13"/>
      <c r="AP1095" s="13"/>
    </row>
    <row r="1096" spans="1:42" ht="15.75" thickBot="1">
      <c r="A1096" s="187"/>
      <c r="B1096" s="149"/>
      <c r="C1096" s="187" t="s">
        <v>31</v>
      </c>
      <c r="D1096" s="187"/>
      <c r="E1096" s="187"/>
      <c r="F1096" s="934"/>
      <c r="G1096" s="187"/>
      <c r="J1096" s="1751"/>
      <c r="K1096" s="2309" t="s">
        <v>1464</v>
      </c>
      <c r="L1096" s="2309"/>
      <c r="M1096" s="2309"/>
      <c r="N1096" s="2309"/>
      <c r="O1096" s="2309"/>
      <c r="P1096" s="1852"/>
      <c r="T1096" s="1851"/>
      <c r="U1096" s="309"/>
      <c r="V1096" s="309"/>
      <c r="W1096" s="309"/>
      <c r="X1096" s="309"/>
      <c r="Y1096" s="309"/>
      <c r="Z1096" s="309"/>
      <c r="AA1096" s="346">
        <v>0.22</v>
      </c>
      <c r="AB1096" s="628"/>
      <c r="AC1096" s="628"/>
      <c r="AD1096" s="585"/>
      <c r="AE1096" s="188"/>
      <c r="AF1096" s="188"/>
      <c r="AG1096" s="1866"/>
      <c r="AH1096" s="1851"/>
      <c r="AO1096" s="13"/>
      <c r="AP1096" s="13"/>
    </row>
    <row r="1097" spans="1:42" ht="36.75" thickBot="1">
      <c r="A1097" s="187"/>
      <c r="B1097" s="629" t="s">
        <v>10</v>
      </c>
      <c r="C1097" s="1176" t="s">
        <v>11</v>
      </c>
      <c r="D1097" s="631" t="s">
        <v>12</v>
      </c>
      <c r="E1097" s="631" t="s">
        <v>13</v>
      </c>
      <c r="F1097" s="370" t="s">
        <v>14</v>
      </c>
      <c r="G1097" s="632" t="s">
        <v>15</v>
      </c>
      <c r="H1097" s="347" t="s">
        <v>1090</v>
      </c>
      <c r="I1097" s="347">
        <f>$C$20</f>
        <v>0.49</v>
      </c>
      <c r="J1097" s="787">
        <f>$C$20</f>
        <v>0.49</v>
      </c>
      <c r="K1097" s="548" t="s">
        <v>15</v>
      </c>
      <c r="L1097" s="423" t="s">
        <v>12</v>
      </c>
      <c r="M1097" s="196" t="s">
        <v>1091</v>
      </c>
      <c r="N1097" s="549" t="s">
        <v>993</v>
      </c>
      <c r="O1097" s="424" t="s">
        <v>1092</v>
      </c>
      <c r="P1097" s="772" t="s">
        <v>1092</v>
      </c>
      <c r="Q1097" s="200" t="s">
        <v>1093</v>
      </c>
      <c r="R1097" s="201" t="s">
        <v>1094</v>
      </c>
      <c r="S1097" s="350" t="s">
        <v>1095</v>
      </c>
      <c r="T1097" s="203" t="s">
        <v>1095</v>
      </c>
      <c r="U1097" s="204" t="s">
        <v>1096</v>
      </c>
      <c r="V1097" s="205" t="s">
        <v>1093</v>
      </c>
      <c r="W1097" s="206" t="s">
        <v>1094</v>
      </c>
      <c r="X1097" s="207" t="s">
        <v>1097</v>
      </c>
      <c r="Y1097" s="208">
        <v>0.49</v>
      </c>
      <c r="Z1097" s="207" t="s">
        <v>1098</v>
      </c>
      <c r="AA1097" s="209" t="s">
        <v>1099</v>
      </c>
      <c r="AB1097" s="209" t="s">
        <v>1100</v>
      </c>
      <c r="AC1097" s="210" t="s">
        <v>1092</v>
      </c>
      <c r="AD1097" s="211" t="s">
        <v>1101</v>
      </c>
      <c r="AE1097" s="212" t="s">
        <v>1102</v>
      </c>
      <c r="AF1097" s="208" t="s">
        <v>1103</v>
      </c>
      <c r="AG1097" s="1867" t="s">
        <v>1104</v>
      </c>
      <c r="AH1097" s="213" t="s">
        <v>1105</v>
      </c>
      <c r="AJ1097" s="483" t="s">
        <v>1107</v>
      </c>
      <c r="AK1097" s="484" t="s">
        <v>1108</v>
      </c>
      <c r="AM1097" s="219" t="s">
        <v>1175</v>
      </c>
      <c r="AN1097" s="219" t="s">
        <v>1176</v>
      </c>
      <c r="AO1097" s="13"/>
      <c r="AP1097" s="13"/>
    </row>
    <row r="1098" spans="1:42" ht="15.75" thickBot="1">
      <c r="A1098" s="187"/>
      <c r="B1098" s="1177" t="s">
        <v>803</v>
      </c>
      <c r="C1098" s="1178" t="s">
        <v>804</v>
      </c>
      <c r="D1098" s="1069">
        <v>183</v>
      </c>
      <c r="E1098" s="1069">
        <v>10</v>
      </c>
      <c r="F1098" s="755">
        <v>100</v>
      </c>
      <c r="G1098" s="1180">
        <v>200</v>
      </c>
      <c r="H1098" s="488">
        <f>G1098*(1+$H$33)</f>
        <v>214</v>
      </c>
      <c r="I1098" s="488">
        <f>H1098-H1098*$J$833</f>
        <v>109.14</v>
      </c>
      <c r="J1098" s="793">
        <f>G1098-G1098*$J$833</f>
        <v>102</v>
      </c>
      <c r="K1098" s="1752">
        <v>252</v>
      </c>
      <c r="L1098" s="322">
        <v>230</v>
      </c>
      <c r="M1098" s="385">
        <f>L1098/D1098*100%</f>
        <v>1.2568306010928962</v>
      </c>
      <c r="N1098" s="382">
        <f>K1098-(K1098*$O$33)</f>
        <v>126</v>
      </c>
      <c r="O1098" s="324">
        <f>((N1098/J1098)-1)*100%</f>
        <v>0.23529411764705888</v>
      </c>
      <c r="P1098" s="233">
        <f>((N1098/I1098)-1)*100%</f>
        <v>0.15448048378229795</v>
      </c>
      <c r="Q1098" s="234">
        <v>1.9476770538243626</v>
      </c>
      <c r="R1098" s="235">
        <f>Q1098*$R$33</f>
        <v>91.605094872521249</v>
      </c>
      <c r="S1098" s="1120">
        <f>((J1098-R1098)/J1098)*100%</f>
        <v>0.10191083458312501</v>
      </c>
      <c r="T1098" s="237">
        <f>((I1098-R1098)/I1098)*100%</f>
        <v>0.16066433138609815</v>
      </c>
      <c r="U1098" s="238">
        <v>1.5966849999999999</v>
      </c>
      <c r="V1098" s="239">
        <f>U1098*$X$31</f>
        <v>1.9160219999999999</v>
      </c>
      <c r="W1098" s="239">
        <f>V1098*$R$33</f>
        <v>90.116262726000002</v>
      </c>
      <c r="X1098" s="240">
        <f>(ROUND(W1098/(1-$AA$1096),0))</f>
        <v>116</v>
      </c>
      <c r="Y1098" s="239">
        <f>Z1098*(1-$X$33)</f>
        <v>111.69</v>
      </c>
      <c r="Z1098" s="240">
        <f>ROUND(X1098/(1-$X$828),0)</f>
        <v>219</v>
      </c>
      <c r="AA1098" s="241">
        <f>((X1098-W1098)/X1098)*100%</f>
        <v>0.22313566615517239</v>
      </c>
      <c r="AB1098" s="241">
        <f>((Y1098-W1098)/Y1098)*100%</f>
        <v>0.19315728600590917</v>
      </c>
      <c r="AC1098" s="1198">
        <f>((N1098/Y1098)-1)*100%</f>
        <v>0.12812248186946018</v>
      </c>
      <c r="AD1098" s="243">
        <f>((N1098*0.96-W1098)/(N1098*0.96))*100%</f>
        <v>0.25499121423611104</v>
      </c>
      <c r="AE1098" s="238">
        <f>N1098/$R$33</f>
        <v>2.6789700848340527</v>
      </c>
      <c r="AF1098" s="239">
        <f>(V1098/(1-$AA$1096))</f>
        <v>2.4564384615384611</v>
      </c>
      <c r="AG1098" s="1868">
        <v>4.6399999999999997</v>
      </c>
      <c r="AH1098" s="244">
        <f>((AF1098-V1098)/AF1098)*100%</f>
        <v>0.21999999999999992</v>
      </c>
      <c r="AJ1098" s="1480">
        <f>[1]Статистика!D312</f>
        <v>27</v>
      </c>
      <c r="AK1098" s="76">
        <f>AJ1098*Q1098*S1098</f>
        <v>5.3592136394483578</v>
      </c>
      <c r="AM1098" s="499">
        <f>AJ1098/$AJ$1101</f>
        <v>3.6282763671546921E-5</v>
      </c>
      <c r="AN1098" s="499">
        <f>AK1098/$AK$1101</f>
        <v>-7.0288149745687423E-5</v>
      </c>
      <c r="AO1098" s="13"/>
      <c r="AP1098" s="13"/>
    </row>
    <row r="1099" spans="1:42" ht="15.75" thickBot="1">
      <c r="A1099" s="934"/>
      <c r="B1099" s="934"/>
      <c r="C1099" s="934"/>
      <c r="D1099" s="934"/>
      <c r="E1099" s="934"/>
      <c r="F1099" s="934"/>
      <c r="G1099" s="934"/>
      <c r="H1099" s="530"/>
      <c r="I1099" s="587"/>
      <c r="J1099" s="1751"/>
      <c r="AO1099" s="13"/>
      <c r="AP1099" s="13"/>
    </row>
    <row r="1100" spans="1:42" ht="61.5" customHeight="1" thickBot="1">
      <c r="P1100" s="131">
        <f>AVERAGE(P834:P839,P843:P847,P852:P853,P860:P865,P869:P874,P883:P888,P892:P897,P901:P903,P906:P909,P916:P918,P922:P927,P932:P933,P938:P943,P949:P954,P959:P963,P968:P973,P981:P986,P1002:P1005,P1020:P1025,P1029:P1034,P1042:P1047,P1053:P1054,P1067,P1074,P1079,P1084,P1088:P1089,P1098)</f>
        <v>0.20371427276061083</v>
      </c>
      <c r="Q1100" s="1856" t="s">
        <v>1133</v>
      </c>
      <c r="R1100" s="830">
        <f>AVERAGE(S834:S839,S843:S847,S852:S853,S860:S865,S869:S874,S883:S888,S892:S897,S901:S903,S906:S911,S916:S918,S922:S927,S932:S933,S938:S943,S949:S954,S959:S963,S968:S973,S981:S986,S1002:S1005,S1020:S1025,S1029:S1034,S1042:S1047,S1053:S1054,S1059:S1062,S1067,S1074,S1079,S1084,S1088:S1089,S1098)</f>
        <v>-0.10656269826939732</v>
      </c>
      <c r="T1100" s="1753">
        <f>AVERAGE(T843:T847,T852:T853,T860:T865,T860:T865,T869:T874,T883:T888,T892:T897,T901:T903,T906:T911,T916:T918,T922:T927,T932:T933,T938:T943,T949:T954,T959:T963,T968:T973,T981:T986,T1002:T1005,T1020:T1025,T1029:T1034,T1042:T1047,T1053:T1054,T1059:T1062,T1059:T1062,T1067,T1074,T1084,T1088:T1089,T1098)</f>
        <v>-3.5207695144883006E-2</v>
      </c>
      <c r="U1100" s="2376" t="s">
        <v>1465</v>
      </c>
      <c r="V1100" s="2377"/>
      <c r="W1100" s="2377"/>
      <c r="X1100" s="2377"/>
      <c r="Y1100" s="2377"/>
      <c r="Z1100" s="2378"/>
      <c r="AA1100" s="1754">
        <f>AVERAGE(AA843:AA847,AA852:AA853,AA860:AA865,AA860:AA865,AA869:AA874,AA883:AA888,AA892:AA897,AA901:AA903,AA906:AA911,AA916:AA918,AA922:AA927,AA932:AA933,AA938:AA943,AA949:AA954,AA959:AA963,AA968:AA973,AA981:AA986,AA1002:AA1005,AA1020:AA1025,AA1029:AA1034,AA1042:AA1047,AA1053:AA1054,AA1059:AA1062,AA1059:AA1062,AA1067,AA1074,AA1084,AA1088:AA1089,AA1098)</f>
        <v>0.15706148906285641</v>
      </c>
      <c r="AB1100" s="1755">
        <f>AVERAGE(AB834:AB839,AB843:AB848,AB852:AB855,AB860:AB865,AB869:AB878,AB883:AB888,AB892:AB897,AB901:AB903,AB906:AB911,AB916:AB918,AB922:AB927,AB932:AB933,AB938:AB943,AB949:AB954,AB959:AB963,AB968:AB973,AB979:AB995,AB999:AB1016,AB1020:AB1025,AB1029:AB1034,AB1040:AB1047,AB1053:AB1054,AB1059:AB1062,AB1067,AB1074,AB1079,AB1084,AB1088:AB1089,AB1094,AB1098)</f>
        <v>0.11889875532313088</v>
      </c>
      <c r="AC1100" s="1754">
        <f>AVERAGE(AC843:AC847,AC852:AC853,AC860:AC865,AC860:AC865,AC869:AC874,AC883:AC888,AC892:AC897,AC901:AC903,AC906:AC911,AC916:AC918,AC922:AC927,AC932:AC933,AC938:AC943,AC949:AC954,AC959:AC963,AC968:AC973,AC981:AC986,AC1002:AC1005,AC1020:AC1025,AC1029:AC1034,AC1042:AC1047,AC1053:AC1054,AC1059:AC1062,AC1059:AC1062,AC1067,AC1074,AC1084,AC1088:AC1089,AC1098)</f>
        <v>0.10292344367021572</v>
      </c>
      <c r="AD1100" s="1754">
        <f>AVERAGE(AD843:AD847,AD852:AD853,AD860:AD865,AD860:AD865,AD869:AD874,AD883:AD888,AD892:AD897,AD901:AD903,AD906:AD911,AD916:AD918,AD922:AD927,AD932:AD933,AD938:AD943,AD949:AD954,AD959:AD963,AD968:AD973,AD981:AD986,AD1002:AD1005,AD1020:AD1025,AD1029:AD1034,AD1042:AD1047,AD1053:AD1054,AD1059:AD1062,AD1059:AD1062,AD1067,AD1074,AD1084,AD1088:AD1089,AD1098)</f>
        <v>0.12398338716006747</v>
      </c>
      <c r="AE1100" s="2379"/>
      <c r="AF1100" s="2380"/>
      <c r="AG1100" s="2381"/>
      <c r="AH1100" s="1754">
        <f>AVERAGE(AH834:AH839,AH843:AH848,AH852:AH855,AH860:AH865,AH869:AH878,AH883:AH888,AH892:AH897,AH901:AH903,AH906:AH911,AH916:AH918,AH922:AH927,AH932:AH933,AH938:AH943,AH949:AH954,AH959:AH963,AH968:AH973,AH979:AH995,AH999:AH1016,AH1020:AH1025,AH1029:AH1034,AH1040:AH1047,AH1053:AH1054,AH1059:AH1062,AH1067,AH1074,AH1079,AH1084,AH1088:AH1089,AH1094,AH1098)</f>
        <v>0.15128205128205138</v>
      </c>
      <c r="AI1100" s="2335" t="s">
        <v>1466</v>
      </c>
      <c r="AJ1100" s="2336"/>
      <c r="AK1100" s="2336"/>
      <c r="AL1100" s="2336"/>
      <c r="AM1100" s="2336"/>
      <c r="AN1100" s="2337"/>
      <c r="AO1100" s="13"/>
      <c r="AP1100" s="13"/>
    </row>
    <row r="1101" spans="1:42" ht="18.75">
      <c r="A1101" s="834" t="s">
        <v>126</v>
      </c>
      <c r="J1101" s="532"/>
      <c r="K1101" s="533"/>
      <c r="N1101" s="1756"/>
      <c r="AB1101" s="2375" t="s">
        <v>1467</v>
      </c>
      <c r="AC1101" s="2375"/>
      <c r="AD1101" s="2375"/>
      <c r="AE1101" s="2375"/>
      <c r="AF1101" s="2375"/>
      <c r="AI1101" s="838">
        <f>AVERAGE(AI840,AI848,AI856,AI866,AI879,AI889,AI898,AI904,AI912,AI919,AI928,AI934,AI944,AI955,AI964,AI974,AI996,AI1017,AI1026,AI1035,AI1049,AI1055,AI1063,S1067,S1074,S1079,S1084,AI1090,S1098)</f>
        <v>-9.4213470409919051E-2</v>
      </c>
      <c r="AJ1101" s="839">
        <f>SUM(AJ840,AJ848,AJ856,AJ866,AJ879,AJ889,AJ898,AJ904,AJ912,AJ919,AJ928,AJ934,AJ944,AJ955,AJ964,AJ974,AJ996,AJ1017,AJ1026,AJ1035,AJ1049,AJ1055,AJ1063,AJ1067,AJ1074,AJ1079,AJ1084,AJ1090,AJ1098)</f>
        <v>744155</v>
      </c>
      <c r="AK1101" s="840">
        <f>SUM(AK840,AK848,AK856,AK866,AK879,AK889,AK898,AK904,AK912,AK919,AK928,AK934,AK944,AK955,AK964,AK974,AK996,AK1017,AK1026,AK1035,AK1049,AK1055,AK1063,AK1067,AK1074,AK1079,AK1084,AK1090,AK1098)</f>
        <v>-76246.332544515099</v>
      </c>
      <c r="AL1101" s="841"/>
      <c r="AM1101" s="842">
        <f>SUM(AM840,AM848,AM856,AM866,AM879,AM889,AM898,AM904,AM912,AM919,AM928,AM934,AM944,AM955,AM964,AM974,AM996,AM1017,AM1026,AM1035,AM1049,AM1055,AM1063,AM1067,AM1074,AM1079,AM1084,AM1090,AM1098)</f>
        <v>1.0000000000000002</v>
      </c>
      <c r="AN1101" s="842">
        <f>SUM(AN840,AN848,AN856,AN866,AN879,AN889,AN898,AN904,AN912,AN928,AN934,AN944,AN955,AN964,AN974,AN996,AN1017,AN1026,AN1035,AN1049,AN1055,AN1063,AN1067,AN1074,AN1079,AN1084,AN1090,AN1098,AN919)</f>
        <v>0.99999999999999978</v>
      </c>
      <c r="AO1101" s="13"/>
      <c r="AP1101" s="13"/>
    </row>
    <row r="1102" spans="1:42">
      <c r="A1102" s="749" t="s">
        <v>1</v>
      </c>
      <c r="B1102" s="1757"/>
      <c r="J1102" s="532"/>
      <c r="K1102" s="533"/>
      <c r="N1102" s="1756"/>
      <c r="AO1102" s="13"/>
      <c r="AP1102" s="13"/>
    </row>
    <row r="1103" spans="1:42" ht="35.25" customHeight="1">
      <c r="A1103" s="2343" t="s">
        <v>127</v>
      </c>
      <c r="B1103" s="2343"/>
      <c r="C1103" s="2343"/>
      <c r="D1103" s="2343"/>
      <c r="E1103" s="2343"/>
      <c r="F1103" s="158" t="s">
        <v>1077</v>
      </c>
      <c r="G1103" s="158"/>
      <c r="H1103" s="159"/>
      <c r="I1103" s="160"/>
      <c r="J1103" s="541"/>
      <c r="K1103" s="533"/>
      <c r="N1103" s="1756"/>
      <c r="AO1103" s="13"/>
      <c r="AP1103" s="13"/>
    </row>
    <row r="1104" spans="1:42">
      <c r="A1104" s="749" t="s">
        <v>2</v>
      </c>
      <c r="B1104" s="1840"/>
      <c r="C1104" s="1840"/>
      <c r="D1104" s="1840"/>
      <c r="E1104" s="1840"/>
      <c r="F1104" s="1840"/>
      <c r="G1104" s="1840"/>
      <c r="H1104" s="623"/>
      <c r="I1104" s="624"/>
      <c r="J1104" s="624"/>
      <c r="K1104" s="533"/>
      <c r="N1104" s="1756"/>
      <c r="AO1104" s="13"/>
      <c r="AP1104" s="13"/>
    </row>
    <row r="1105" spans="1:42">
      <c r="A1105" s="2323" t="s">
        <v>128</v>
      </c>
      <c r="B1105" s="2323"/>
      <c r="C1105" s="2323"/>
      <c r="D1105" s="2323"/>
      <c r="E1105" s="2323"/>
      <c r="F1105" s="2323"/>
      <c r="G1105" s="2323"/>
      <c r="H1105" s="2323"/>
      <c r="I1105" s="2323"/>
      <c r="J1105" s="2323"/>
      <c r="K1105" s="533"/>
      <c r="N1105" s="1756"/>
      <c r="AO1105" s="13"/>
      <c r="AP1105" s="13"/>
    </row>
    <row r="1106" spans="1:42">
      <c r="A1106" s="187" t="s">
        <v>129</v>
      </c>
      <c r="B1106" s="1840"/>
      <c r="C1106" s="1840"/>
      <c r="D1106" s="1840"/>
      <c r="E1106" s="1840"/>
      <c r="F1106" s="1840"/>
      <c r="G1106" s="1840"/>
      <c r="H1106" s="623"/>
      <c r="I1106" s="624"/>
      <c r="J1106" s="624"/>
      <c r="K1106" s="533"/>
      <c r="N1106" s="1756"/>
      <c r="AO1106" s="13"/>
      <c r="AP1106" s="13"/>
    </row>
    <row r="1107" spans="1:42">
      <c r="A1107" s="187" t="s">
        <v>130</v>
      </c>
      <c r="B1107" s="1846"/>
      <c r="J1107" s="532"/>
      <c r="K1107" s="533"/>
      <c r="N1107" s="1756"/>
      <c r="AO1107" s="13"/>
      <c r="AP1107" s="13"/>
    </row>
    <row r="1108" spans="1:42">
      <c r="A1108" s="187" t="s">
        <v>1468</v>
      </c>
      <c r="J1108" s="532"/>
      <c r="K1108" s="533"/>
      <c r="N1108" s="1756"/>
      <c r="U1108" s="1453">
        <v>1.3149999999999999</v>
      </c>
      <c r="W1108" s="1026" t="s">
        <v>1251</v>
      </c>
      <c r="X1108" s="1026">
        <f>$C$21</f>
        <v>0.45</v>
      </c>
      <c r="AO1108" s="13"/>
      <c r="AP1108" s="13"/>
    </row>
    <row r="1109" spans="1:42">
      <c r="A1109" s="749" t="s">
        <v>5</v>
      </c>
      <c r="J1109" s="532"/>
      <c r="K1109" s="533"/>
      <c r="N1109" s="1756"/>
      <c r="W1109" s="1026" t="s">
        <v>1252</v>
      </c>
      <c r="X1109" s="1026">
        <v>0.47</v>
      </c>
      <c r="AO1109" s="13"/>
      <c r="AP1109" s="13"/>
    </row>
    <row r="1110" spans="1:42">
      <c r="A1110" s="751" t="s">
        <v>131</v>
      </c>
      <c r="J1110" s="532"/>
      <c r="K1110" s="533"/>
      <c r="N1110" s="1756"/>
      <c r="AO1110" s="13"/>
      <c r="AP1110" s="13"/>
    </row>
    <row r="1111" spans="1:42">
      <c r="A1111" s="751" t="s">
        <v>603</v>
      </c>
      <c r="B1111" s="156"/>
      <c r="J1111" s="532"/>
      <c r="K1111" s="533"/>
      <c r="N1111" s="1756"/>
      <c r="AO1111" s="13"/>
      <c r="AP1111" s="13"/>
    </row>
    <row r="1112" spans="1:42">
      <c r="A1112" s="149" t="s">
        <v>132</v>
      </c>
      <c r="B1112" s="162"/>
      <c r="J1112" s="532"/>
      <c r="K1112" s="533"/>
      <c r="N1112" s="1756"/>
      <c r="AO1112" s="13"/>
      <c r="AP1112" s="13"/>
    </row>
    <row r="1113" spans="1:42" ht="15.75" thickBot="1">
      <c r="A1113" s="187"/>
      <c r="B1113" s="157"/>
      <c r="C1113" s="157" t="s">
        <v>133</v>
      </c>
      <c r="J1113" s="532"/>
      <c r="K1113" s="2309" t="s">
        <v>1469</v>
      </c>
      <c r="L1113" s="2309"/>
      <c r="M1113" s="2309"/>
      <c r="N1113" s="2309"/>
      <c r="O1113" s="2309"/>
      <c r="P1113" s="1852"/>
      <c r="T1113" s="1851"/>
      <c r="U1113" s="309"/>
      <c r="V1113" s="309"/>
      <c r="W1113" s="309"/>
      <c r="X1113" s="309"/>
      <c r="Y1113" s="309"/>
      <c r="Z1113" s="309"/>
      <c r="AA1113" s="346">
        <v>0.09</v>
      </c>
      <c r="AB1113" s="628">
        <v>0.12</v>
      </c>
      <c r="AC1113" s="628">
        <v>0.16</v>
      </c>
      <c r="AD1113" s="585"/>
      <c r="AE1113" s="188"/>
      <c r="AF1113" s="188"/>
      <c r="AG1113" s="1866"/>
      <c r="AH1113" s="1851"/>
      <c r="AO1113" s="13"/>
      <c r="AP1113" s="13"/>
    </row>
    <row r="1114" spans="1:42" ht="60.75" thickBot="1">
      <c r="A1114" s="187"/>
      <c r="B1114" s="369" t="s">
        <v>10</v>
      </c>
      <c r="C1114" s="370" t="s">
        <v>11</v>
      </c>
      <c r="D1114" s="370" t="s">
        <v>12</v>
      </c>
      <c r="E1114" s="370" t="s">
        <v>13</v>
      </c>
      <c r="F1114" s="370" t="s">
        <v>14</v>
      </c>
      <c r="G1114" s="371" t="s">
        <v>1470</v>
      </c>
      <c r="H1114" s="372" t="s">
        <v>1090</v>
      </c>
      <c r="I1114" s="633">
        <f>$C$21</f>
        <v>0.45</v>
      </c>
      <c r="J1114" s="684">
        <f>$C$21</f>
        <v>0.45</v>
      </c>
      <c r="K1114" s="548" t="s">
        <v>15</v>
      </c>
      <c r="L1114" s="423" t="s">
        <v>12</v>
      </c>
      <c r="M1114" s="196" t="s">
        <v>1091</v>
      </c>
      <c r="N1114" s="549" t="s">
        <v>993</v>
      </c>
      <c r="O1114" s="424" t="s">
        <v>1092</v>
      </c>
      <c r="P1114" s="772" t="s">
        <v>1092</v>
      </c>
      <c r="Q1114" s="200" t="s">
        <v>1093</v>
      </c>
      <c r="R1114" s="201" t="s">
        <v>1094</v>
      </c>
      <c r="S1114" s="350" t="s">
        <v>1095</v>
      </c>
      <c r="T1114" s="1117" t="s">
        <v>1095</v>
      </c>
      <c r="U1114" s="204" t="s">
        <v>1096</v>
      </c>
      <c r="V1114" s="205" t="s">
        <v>1093</v>
      </c>
      <c r="W1114" s="206" t="s">
        <v>1094</v>
      </c>
      <c r="X1114" s="207" t="s">
        <v>1097</v>
      </c>
      <c r="Y1114" s="208">
        <f>$X$1109</f>
        <v>0.47</v>
      </c>
      <c r="Z1114" s="207" t="s">
        <v>1098</v>
      </c>
      <c r="AA1114" s="209" t="s">
        <v>1099</v>
      </c>
      <c r="AB1114" s="209" t="s">
        <v>1100</v>
      </c>
      <c r="AC1114" s="210" t="s">
        <v>1092</v>
      </c>
      <c r="AD1114" s="211" t="s">
        <v>1101</v>
      </c>
      <c r="AE1114" s="212" t="s">
        <v>1102</v>
      </c>
      <c r="AF1114" s="208" t="s">
        <v>1103</v>
      </c>
      <c r="AG1114" s="1867" t="s">
        <v>1104</v>
      </c>
      <c r="AH1114" s="213" t="s">
        <v>1105</v>
      </c>
      <c r="AI1114" s="220" t="s">
        <v>1106</v>
      </c>
      <c r="AJ1114" s="483" t="s">
        <v>1107</v>
      </c>
      <c r="AK1114" s="484" t="s">
        <v>1108</v>
      </c>
      <c r="AL1114" s="221" t="s">
        <v>1109</v>
      </c>
      <c r="AM1114" s="221" t="s">
        <v>1175</v>
      </c>
      <c r="AN1114" s="221" t="s">
        <v>1176</v>
      </c>
      <c r="AO1114" s="13"/>
      <c r="AP1114" s="13"/>
    </row>
    <row r="1115" spans="1:42" ht="15.75">
      <c r="A1115" s="271"/>
      <c r="B1115" s="688" t="s">
        <v>375</v>
      </c>
      <c r="C1115" s="376" t="s">
        <v>376</v>
      </c>
      <c r="D1115" s="377">
        <v>64</v>
      </c>
      <c r="E1115" s="377">
        <v>10</v>
      </c>
      <c r="F1115" s="377">
        <v>250</v>
      </c>
      <c r="G1115" s="689">
        <v>60</v>
      </c>
      <c r="H1115" s="1027">
        <f>G1115*(1+$H$33)</f>
        <v>64.2</v>
      </c>
      <c r="I1115" s="1027">
        <f t="shared" ref="I1115:I1121" si="671">H1115-H1115*$J$1114</f>
        <v>35.31</v>
      </c>
      <c r="J1115" s="1028">
        <f>G1115-G1115*$J$1114</f>
        <v>33</v>
      </c>
      <c r="K1115" s="1029">
        <v>72</v>
      </c>
      <c r="L1115" s="478">
        <v>64</v>
      </c>
      <c r="M1115" s="479">
        <f t="shared" ref="M1115:M1121" si="672">L1115/D1115*100%</f>
        <v>1</v>
      </c>
      <c r="N1115" s="1758">
        <f>K1115-(K1115*$O$33)</f>
        <v>36</v>
      </c>
      <c r="O1115" s="437">
        <f t="shared" ref="O1115:O1121" si="673">((N1115/J1115)-1)*100%</f>
        <v>9.0909090909090828E-2</v>
      </c>
      <c r="P1115" s="1599">
        <f>((N1115/I1115)-1)*100%</f>
        <v>1.954120645709434E-2</v>
      </c>
      <c r="Q1115" s="1674">
        <v>0.75</v>
      </c>
      <c r="R1115" s="258">
        <f t="shared" ref="R1115:R1120" si="674">Q1115*$R$33</f>
        <v>35.274749999999997</v>
      </c>
      <c r="S1115" s="259">
        <f t="shared" ref="S1115:S1121" si="675">((J1115-R1115)/J1115)*100%</f>
        <v>-6.8931818181818108E-2</v>
      </c>
      <c r="T1115" s="1227">
        <f>((I1115-R1115)/I1115)*100%</f>
        <v>9.9830076465604327E-4</v>
      </c>
      <c r="U1115" s="1759">
        <v>0.57499999999999996</v>
      </c>
      <c r="V1115" s="1760">
        <f>U1115*$U$1108</f>
        <v>0.75612499999999994</v>
      </c>
      <c r="W1115" s="1760">
        <f t="shared" ref="W1115:W1121" si="676">V1115*$R$33</f>
        <v>35.562827124999998</v>
      </c>
      <c r="X1115" s="1761">
        <f>(ROUND(W1115/(1-$AA$1113),0))</f>
        <v>39</v>
      </c>
      <c r="Y1115" s="1760">
        <f>Z1115*(1-$X$1109)</f>
        <v>37.630000000000003</v>
      </c>
      <c r="Z1115" s="1761">
        <f>ROUND(X1115/(1-$X$1108),0)</f>
        <v>71</v>
      </c>
      <c r="AA1115" s="1762">
        <f t="shared" ref="AA1115:AA1121" si="677">((X1115-W1115)/X1115)*100%</f>
        <v>8.8132637820512866E-2</v>
      </c>
      <c r="AB1115" s="1762">
        <f t="shared" ref="AB1115:AB1121" si="678">((Y1115-W1115)/Y1115)*100%</f>
        <v>5.4934171538666067E-2</v>
      </c>
      <c r="AC1115" s="1763">
        <f t="shared" ref="AC1115:AC1121" si="679">((N1115/Y1115)-1)*100%</f>
        <v>-4.331650279032695E-2</v>
      </c>
      <c r="AD1115" s="1764">
        <f t="shared" ref="AD1115:AD1121" si="680">((N1115*0.96-W1115)/(N1115*0.96))*100%</f>
        <v>-2.9016988570601737E-2</v>
      </c>
      <c r="AE1115" s="238">
        <f t="shared" ref="AE1115:AE1121" si="681">N1115/$R$33</f>
        <v>0.7654200242383008</v>
      </c>
      <c r="AF1115" s="1760">
        <f>(V1115/(1-$AA$1113))</f>
        <v>0.83090659340659334</v>
      </c>
      <c r="AG1115" s="1901">
        <v>1.51</v>
      </c>
      <c r="AH1115" s="1762">
        <f t="shared" ref="AH1115:AH1121" si="682">((AF1115-V1115)/AF1115)*100%</f>
        <v>9.0000000000000011E-2</v>
      </c>
      <c r="AI1115" s="1395">
        <f>AJ1115/$AJ$1122</f>
        <v>0.57952244641485717</v>
      </c>
      <c r="AJ1115" s="1765">
        <f>[1]Статистика!D405</f>
        <v>16601</v>
      </c>
      <c r="AK1115" s="1766">
        <f t="shared" ref="AK1115:AK1121" si="683">Q1115*S1115*AJ1115</f>
        <v>-858.25283522727182</v>
      </c>
      <c r="AL1115" s="1459">
        <f>AK1115/$AK$1122</f>
        <v>0.34613311959416154</v>
      </c>
      <c r="AM1115" s="1395">
        <f>AJ1115/$AJ$1226</f>
        <v>0.11063350527143562</v>
      </c>
      <c r="AN1115" s="1395">
        <f>AK1115/$AK$1226</f>
        <v>4.1740685698039709E-2</v>
      </c>
      <c r="AO1115" s="13"/>
      <c r="AP1115" s="13"/>
    </row>
    <row r="1116" spans="1:42" ht="15.75">
      <c r="A1116" s="187"/>
      <c r="B1116" s="250" t="s">
        <v>377</v>
      </c>
      <c r="C1116" s="250" t="s">
        <v>378</v>
      </c>
      <c r="D1116" s="251">
        <v>80</v>
      </c>
      <c r="E1116" s="251">
        <v>10</v>
      </c>
      <c r="F1116" s="251">
        <v>200</v>
      </c>
      <c r="G1116" s="433">
        <v>88</v>
      </c>
      <c r="H1116" s="453">
        <f t="shared" ref="H1116:H1121" si="684">G1116*(1+$H$33)</f>
        <v>94.160000000000011</v>
      </c>
      <c r="I1116" s="453">
        <f t="shared" si="671"/>
        <v>51.788000000000004</v>
      </c>
      <c r="J1116" s="1045">
        <f t="shared" ref="J1116:J1121" si="685">G1116-G1116*$J$1114</f>
        <v>48.4</v>
      </c>
      <c r="K1116" s="1094">
        <v>110</v>
      </c>
      <c r="L1116" s="322">
        <v>77</v>
      </c>
      <c r="M1116" s="323">
        <f t="shared" si="672"/>
        <v>0.96250000000000002</v>
      </c>
      <c r="N1116" s="1767">
        <f t="shared" ref="N1116:N1121" si="686">K1116-(K1116*$O$33)</f>
        <v>55</v>
      </c>
      <c r="O1116" s="1631">
        <f t="shared" si="673"/>
        <v>0.13636363636363646</v>
      </c>
      <c r="P1116" s="1599">
        <f t="shared" ref="P1116:P1121" si="687">((N1116/I1116)-1)*100%</f>
        <v>6.2022090059473234E-2</v>
      </c>
      <c r="Q1116" s="257">
        <v>0.98497502497502487</v>
      </c>
      <c r="R1116" s="258">
        <f t="shared" si="674"/>
        <v>46.326330349650348</v>
      </c>
      <c r="S1116" s="259">
        <f t="shared" si="675"/>
        <v>4.2844414263422531E-2</v>
      </c>
      <c r="T1116" s="1227">
        <f t="shared" ref="T1116:T1121" si="688">((I1116-R1116)/I1116)*100%</f>
        <v>0.10546206940506787</v>
      </c>
      <c r="U1116" s="1358">
        <v>0.71899999999999997</v>
      </c>
      <c r="V1116" s="1359">
        <f t="shared" ref="V1116:V1121" si="689">U1116*$U$1108</f>
        <v>0.94548499999999991</v>
      </c>
      <c r="W1116" s="1359">
        <f t="shared" si="676"/>
        <v>44.468996004999994</v>
      </c>
      <c r="X1116" s="1761">
        <f>(ROUND(W1116/(1-$AC$1113),0))</f>
        <v>53</v>
      </c>
      <c r="Y1116" s="1760">
        <f t="shared" ref="Y1116:Y1121" si="690">Z1116*(1-$X$1109)</f>
        <v>50.88</v>
      </c>
      <c r="Z1116" s="1761">
        <f t="shared" ref="Z1116:Z1121" si="691">ROUND(X1116/(1-$X$1108),0)</f>
        <v>96</v>
      </c>
      <c r="AA1116" s="1361">
        <f t="shared" si="677"/>
        <v>0.160962339528302</v>
      </c>
      <c r="AB1116" s="1361">
        <f t="shared" si="678"/>
        <v>0.12600243700864797</v>
      </c>
      <c r="AC1116" s="1696">
        <f t="shared" si="679"/>
        <v>8.0974842767295607E-2</v>
      </c>
      <c r="AD1116" s="1669">
        <f t="shared" si="680"/>
        <v>0.15778416657196975</v>
      </c>
      <c r="AE1116" s="261">
        <f t="shared" si="681"/>
        <v>1.169391703697404</v>
      </c>
      <c r="AF1116" s="1760">
        <f>(V1116/(1-$AC$1113))</f>
        <v>1.1255773809523808</v>
      </c>
      <c r="AG1116" s="1901">
        <v>2.0499999999999998</v>
      </c>
      <c r="AH1116" s="1361">
        <f t="shared" si="682"/>
        <v>0.15999999999999998</v>
      </c>
      <c r="AI1116" s="77">
        <f t="shared" ref="AI1116:AI1121" si="692">AJ1116/$AJ$1122</f>
        <v>5.4737136074844657E-2</v>
      </c>
      <c r="AJ1116" s="333">
        <f>[1]Статистика!D406</f>
        <v>1568</v>
      </c>
      <c r="AK1116" s="270">
        <f t="shared" si="683"/>
        <v>66.170663118354909</v>
      </c>
      <c r="AL1116" s="506">
        <f t="shared" ref="AL1116:AL1121" si="693">AK1116/$AK$1122</f>
        <v>-2.668660924924926E-2</v>
      </c>
      <c r="AM1116" s="77">
        <f t="shared" ref="AM1116:AM1121" si="694">AJ1116/$AJ$1226</f>
        <v>1.0449571487597798E-2</v>
      </c>
      <c r="AN1116" s="77">
        <f t="shared" ref="AN1116:AN1121" si="695">AK1116/$AK$1226</f>
        <v>-3.2181762043614103E-3</v>
      </c>
      <c r="AO1116" s="13"/>
      <c r="AP1116" s="13"/>
    </row>
    <row r="1117" spans="1:42" ht="15.75">
      <c r="A1117" s="187"/>
      <c r="B1117" s="699" t="s">
        <v>379</v>
      </c>
      <c r="C1117" s="250" t="s">
        <v>380</v>
      </c>
      <c r="D1117" s="251">
        <v>110</v>
      </c>
      <c r="E1117" s="251">
        <v>10</v>
      </c>
      <c r="F1117" s="251">
        <v>150</v>
      </c>
      <c r="G1117" s="433">
        <v>93</v>
      </c>
      <c r="H1117" s="453">
        <f t="shared" si="684"/>
        <v>99.51</v>
      </c>
      <c r="I1117" s="453">
        <f t="shared" si="671"/>
        <v>54.730499999999999</v>
      </c>
      <c r="J1117" s="1045">
        <f t="shared" si="685"/>
        <v>51.15</v>
      </c>
      <c r="K1117" s="1094">
        <v>117</v>
      </c>
      <c r="L1117" s="322">
        <v>111</v>
      </c>
      <c r="M1117" s="323">
        <f t="shared" si="672"/>
        <v>1.009090909090909</v>
      </c>
      <c r="N1117" s="1767">
        <f t="shared" si="686"/>
        <v>58.5</v>
      </c>
      <c r="O1117" s="1631">
        <f t="shared" si="673"/>
        <v>0.14369501466275669</v>
      </c>
      <c r="P1117" s="1599">
        <f t="shared" si="687"/>
        <v>6.8873845479211715E-2</v>
      </c>
      <c r="Q1117" s="273">
        <v>1.2452611940298508</v>
      </c>
      <c r="R1117" s="258">
        <f t="shared" si="674"/>
        <v>58.568369738805977</v>
      </c>
      <c r="S1117" s="259">
        <f t="shared" si="675"/>
        <v>-0.14503166644781973</v>
      </c>
      <c r="T1117" s="1227">
        <f t="shared" si="688"/>
        <v>-7.0123052754971688E-2</v>
      </c>
      <c r="U1117" s="1358">
        <v>0.94199999999999995</v>
      </c>
      <c r="V1117" s="1359">
        <f t="shared" si="689"/>
        <v>1.2387299999999999</v>
      </c>
      <c r="W1117" s="1359">
        <f t="shared" si="676"/>
        <v>58.261188089999997</v>
      </c>
      <c r="X1117" s="1761">
        <f>(ROUND(W1117/(1-$AA$1113),0))</f>
        <v>64</v>
      </c>
      <c r="Y1117" s="1760">
        <f t="shared" si="690"/>
        <v>61.480000000000004</v>
      </c>
      <c r="Z1117" s="1761">
        <f t="shared" si="691"/>
        <v>116</v>
      </c>
      <c r="AA1117" s="1361">
        <f t="shared" si="677"/>
        <v>8.966893609375004E-2</v>
      </c>
      <c r="AB1117" s="1361">
        <f t="shared" si="678"/>
        <v>5.2355431197137384E-2</v>
      </c>
      <c r="AC1117" s="1362">
        <f t="shared" si="679"/>
        <v>-4.8471047495120434E-2</v>
      </c>
      <c r="AD1117" s="1669">
        <f t="shared" si="680"/>
        <v>-3.741431784188036E-2</v>
      </c>
      <c r="AE1117" s="261">
        <f t="shared" si="681"/>
        <v>1.2438075393872388</v>
      </c>
      <c r="AF1117" s="1760">
        <f>(V1117/(1-$AA$1113))</f>
        <v>1.361241758241758</v>
      </c>
      <c r="AG1117" s="1901">
        <v>2.48</v>
      </c>
      <c r="AH1117" s="1361">
        <f t="shared" si="682"/>
        <v>8.99999999999999E-2</v>
      </c>
      <c r="AI1117" s="77">
        <f t="shared" si="692"/>
        <v>0.13101305592403825</v>
      </c>
      <c r="AJ1117" s="333">
        <f>[1]Статистика!D407</f>
        <v>3753</v>
      </c>
      <c r="AK1117" s="270">
        <f t="shared" si="683"/>
        <v>-677.80045491696535</v>
      </c>
      <c r="AL1117" s="506">
        <f t="shared" si="693"/>
        <v>0.27335672693772667</v>
      </c>
      <c r="AM1117" s="77">
        <f t="shared" si="694"/>
        <v>2.5010996041425086E-2</v>
      </c>
      <c r="AN1117" s="77">
        <f t="shared" si="695"/>
        <v>3.2964476892389745E-2</v>
      </c>
      <c r="AO1117" s="13"/>
      <c r="AP1117" s="13"/>
    </row>
    <row r="1118" spans="1:42" ht="15.75">
      <c r="A1118" s="187"/>
      <c r="B1118" s="699" t="s">
        <v>381</v>
      </c>
      <c r="C1118" s="250" t="s">
        <v>382</v>
      </c>
      <c r="D1118" s="251">
        <v>110</v>
      </c>
      <c r="E1118" s="251">
        <v>10</v>
      </c>
      <c r="F1118" s="251">
        <v>150</v>
      </c>
      <c r="G1118" s="328">
        <v>100</v>
      </c>
      <c r="H1118" s="453">
        <f t="shared" si="684"/>
        <v>107</v>
      </c>
      <c r="I1118" s="453">
        <f t="shared" si="671"/>
        <v>58.85</v>
      </c>
      <c r="J1118" s="1045">
        <f t="shared" si="685"/>
        <v>55</v>
      </c>
      <c r="K1118" s="1094">
        <v>125</v>
      </c>
      <c r="L1118" s="322">
        <v>110</v>
      </c>
      <c r="M1118" s="323">
        <f t="shared" si="672"/>
        <v>1</v>
      </c>
      <c r="N1118" s="1767">
        <f t="shared" si="686"/>
        <v>62.5</v>
      </c>
      <c r="O1118" s="329">
        <f t="shared" si="673"/>
        <v>0.13636363636363646</v>
      </c>
      <c r="P1118" s="1599">
        <f t="shared" si="687"/>
        <v>6.2022090059473234E-2</v>
      </c>
      <c r="Q1118" s="257">
        <v>1.2595872929676892</v>
      </c>
      <c r="R1118" s="258">
        <f t="shared" si="674"/>
        <v>59.24216915014933</v>
      </c>
      <c r="S1118" s="259">
        <f t="shared" si="675"/>
        <v>-7.7130348184533265E-2</v>
      </c>
      <c r="T1118" s="1227">
        <f t="shared" si="688"/>
        <v>-6.6638768079749959E-3</v>
      </c>
      <c r="U1118" s="261">
        <v>0.95099999999999996</v>
      </c>
      <c r="V1118" s="1359">
        <f t="shared" si="689"/>
        <v>1.2505649999999999</v>
      </c>
      <c r="W1118" s="262">
        <f t="shared" si="676"/>
        <v>58.817823644999997</v>
      </c>
      <c r="X1118" s="1761">
        <f>(ROUND(W1118/(1-$AA$1113),0))</f>
        <v>65</v>
      </c>
      <c r="Y1118" s="1760">
        <f t="shared" si="690"/>
        <v>62.540000000000006</v>
      </c>
      <c r="Z1118" s="1761">
        <f t="shared" si="691"/>
        <v>118</v>
      </c>
      <c r="AA1118" s="264">
        <f t="shared" si="677"/>
        <v>9.5110405461538511E-2</v>
      </c>
      <c r="AB1118" s="264">
        <f t="shared" si="678"/>
        <v>5.9516730972177946E-2</v>
      </c>
      <c r="AC1118" s="1675">
        <f t="shared" si="679"/>
        <v>-6.3959066197638581E-4</v>
      </c>
      <c r="AD1118" s="266">
        <f t="shared" si="680"/>
        <v>1.9702939250000048E-2</v>
      </c>
      <c r="AE1118" s="261">
        <f t="shared" si="681"/>
        <v>1.3288542087470498</v>
      </c>
      <c r="AF1118" s="1760">
        <f>(V1118/(1-$AA$1113))</f>
        <v>1.3742472527472527</v>
      </c>
      <c r="AG1118" s="1901">
        <v>2.5</v>
      </c>
      <c r="AH1118" s="264">
        <f t="shared" si="682"/>
        <v>9.0000000000000011E-2</v>
      </c>
      <c r="AI1118" s="77">
        <f t="shared" si="692"/>
        <v>0.15272638413740139</v>
      </c>
      <c r="AJ1118" s="333">
        <f>[1]Статистика!D408</f>
        <v>4375</v>
      </c>
      <c r="AK1118" s="270">
        <f t="shared" si="683"/>
        <v>-425.04177832992565</v>
      </c>
      <c r="AL1118" s="506">
        <f t="shared" si="693"/>
        <v>0.17141922595831388</v>
      </c>
      <c r="AM1118" s="77">
        <f t="shared" si="694"/>
        <v>2.9156170445306356E-2</v>
      </c>
      <c r="AN1118" s="77">
        <f t="shared" si="695"/>
        <v>2.0671688516015446E-2</v>
      </c>
      <c r="AO1118" s="13"/>
      <c r="AP1118" s="13"/>
    </row>
    <row r="1119" spans="1:42" ht="15.75">
      <c r="A1119" s="187"/>
      <c r="B1119" s="657" t="s">
        <v>383</v>
      </c>
      <c r="C1119" s="925" t="s">
        <v>384</v>
      </c>
      <c r="D1119" s="926">
        <v>171</v>
      </c>
      <c r="E1119" s="926">
        <v>5</v>
      </c>
      <c r="F1119" s="926">
        <v>100</v>
      </c>
      <c r="G1119" s="433">
        <v>170</v>
      </c>
      <c r="H1119" s="453">
        <f t="shared" si="684"/>
        <v>181.9</v>
      </c>
      <c r="I1119" s="453">
        <f t="shared" si="671"/>
        <v>100.045</v>
      </c>
      <c r="J1119" s="1567">
        <f t="shared" si="685"/>
        <v>93.5</v>
      </c>
      <c r="K1119" s="1568">
        <v>200</v>
      </c>
      <c r="L1119" s="929">
        <v>171</v>
      </c>
      <c r="M1119" s="1516">
        <f t="shared" si="672"/>
        <v>1</v>
      </c>
      <c r="N1119" s="1768">
        <f t="shared" si="686"/>
        <v>100</v>
      </c>
      <c r="O1119" s="932">
        <f t="shared" si="673"/>
        <v>6.9518716577540163E-2</v>
      </c>
      <c r="P1119" s="1769">
        <f t="shared" si="687"/>
        <v>-4.4979759108398909E-4</v>
      </c>
      <c r="Q1119" s="1570">
        <v>2.3631250000000001</v>
      </c>
      <c r="R1119" s="650">
        <f t="shared" si="674"/>
        <v>111.14485812500001</v>
      </c>
      <c r="S1119" s="933">
        <f t="shared" si="675"/>
        <v>-0.18871506016042794</v>
      </c>
      <c r="T1119" s="1701">
        <f t="shared" si="688"/>
        <v>-0.11094865435554012</v>
      </c>
      <c r="U1119" s="261">
        <v>1.464</v>
      </c>
      <c r="V1119" s="1359">
        <f t="shared" si="689"/>
        <v>1.92516</v>
      </c>
      <c r="W1119" s="262">
        <f t="shared" si="676"/>
        <v>90.546050280000003</v>
      </c>
      <c r="X1119" s="1761">
        <f>(ROUND(W1119/(1-$AB$1113),0))</f>
        <v>103</v>
      </c>
      <c r="Y1119" s="1760">
        <f t="shared" si="690"/>
        <v>99.11</v>
      </c>
      <c r="Z1119" s="1761">
        <f t="shared" si="691"/>
        <v>187</v>
      </c>
      <c r="AA1119" s="264">
        <f t="shared" si="677"/>
        <v>0.12091213320388347</v>
      </c>
      <c r="AB1119" s="264">
        <f t="shared" si="678"/>
        <v>8.6408533144990377E-2</v>
      </c>
      <c r="AC1119" s="1675">
        <f t="shared" si="679"/>
        <v>8.9799212995660405E-3</v>
      </c>
      <c r="AD1119" s="266">
        <f t="shared" si="680"/>
        <v>5.6811976249999972E-2</v>
      </c>
      <c r="AE1119" s="261">
        <f t="shared" si="681"/>
        <v>2.1261667339952797</v>
      </c>
      <c r="AF1119" s="1760">
        <f>(V1119/(1-$AB$1113))</f>
        <v>2.1876818181818183</v>
      </c>
      <c r="AG1119" s="1901">
        <v>3.98</v>
      </c>
      <c r="AH1119" s="264">
        <f t="shared" si="682"/>
        <v>0.12000000000000005</v>
      </c>
      <c r="AI1119" s="77">
        <f t="shared" si="692"/>
        <v>4.2658660895063885E-2</v>
      </c>
      <c r="AJ1119" s="333">
        <v>1222</v>
      </c>
      <c r="AK1119" s="270">
        <f t="shared" si="683"/>
        <v>-544.95979193384903</v>
      </c>
      <c r="AL1119" s="506">
        <f t="shared" si="693"/>
        <v>0.2197821260741866</v>
      </c>
      <c r="AM1119" s="77">
        <f t="shared" si="694"/>
        <v>8.1437349220947128E-3</v>
      </c>
      <c r="AN1119" s="77">
        <f t="shared" si="695"/>
        <v>2.6503839497548917E-2</v>
      </c>
      <c r="AO1119" s="13"/>
      <c r="AP1119" s="13"/>
    </row>
    <row r="1120" spans="1:42" ht="15.75">
      <c r="A1120" s="187"/>
      <c r="B1120" s="699" t="s">
        <v>385</v>
      </c>
      <c r="C1120" s="250" t="s">
        <v>386</v>
      </c>
      <c r="D1120" s="251">
        <v>193</v>
      </c>
      <c r="E1120" s="251">
        <v>5</v>
      </c>
      <c r="F1120" s="251">
        <v>80</v>
      </c>
      <c r="G1120" s="328">
        <v>168</v>
      </c>
      <c r="H1120" s="453">
        <f t="shared" si="684"/>
        <v>179.76000000000002</v>
      </c>
      <c r="I1120" s="453">
        <f t="shared" si="671"/>
        <v>98.868000000000009</v>
      </c>
      <c r="J1120" s="1045">
        <f t="shared" si="685"/>
        <v>92.399999999999991</v>
      </c>
      <c r="K1120" s="1094">
        <v>202</v>
      </c>
      <c r="L1120" s="322">
        <v>172</v>
      </c>
      <c r="M1120" s="323">
        <f t="shared" si="672"/>
        <v>0.89119170984455953</v>
      </c>
      <c r="N1120" s="1767">
        <f t="shared" si="686"/>
        <v>101</v>
      </c>
      <c r="O1120" s="1631">
        <f t="shared" si="673"/>
        <v>9.3073593073593086E-2</v>
      </c>
      <c r="P1120" s="1599">
        <f t="shared" si="687"/>
        <v>2.1564105676255219E-2</v>
      </c>
      <c r="Q1120" s="257">
        <v>2.0299999999999998</v>
      </c>
      <c r="R1120" s="258">
        <f t="shared" si="674"/>
        <v>95.476989999999986</v>
      </c>
      <c r="S1120" s="259">
        <f t="shared" si="675"/>
        <v>-3.3300757575757525E-2</v>
      </c>
      <c r="T1120" s="1701">
        <f t="shared" si="688"/>
        <v>3.4298357405834271E-2</v>
      </c>
      <c r="U1120" s="261">
        <v>1.722</v>
      </c>
      <c r="V1120" s="1359">
        <f t="shared" si="689"/>
        <v>2.2644299999999999</v>
      </c>
      <c r="W1120" s="262">
        <f t="shared" si="676"/>
        <v>106.50293619</v>
      </c>
      <c r="X1120" s="1761">
        <f>(ROUND(W1120/(1-$AA$1113),0))</f>
        <v>117</v>
      </c>
      <c r="Y1120" s="1760">
        <f t="shared" si="690"/>
        <v>112.89</v>
      </c>
      <c r="Z1120" s="1761">
        <f t="shared" si="691"/>
        <v>213</v>
      </c>
      <c r="AA1120" s="264">
        <f t="shared" si="677"/>
        <v>8.9718494102564106E-2</v>
      </c>
      <c r="AB1120" s="264">
        <f t="shared" si="678"/>
        <v>5.6577764283816112E-2</v>
      </c>
      <c r="AC1120" s="1590">
        <f t="shared" si="679"/>
        <v>-0.10532376649836128</v>
      </c>
      <c r="AD1120" s="266">
        <f t="shared" si="680"/>
        <v>-9.8421371596534718E-2</v>
      </c>
      <c r="AE1120" s="261">
        <f t="shared" si="681"/>
        <v>2.1474284013352327</v>
      </c>
      <c r="AF1120" s="1760">
        <f>(V1120/(1-$AA$1113))</f>
        <v>2.4883846153846152</v>
      </c>
      <c r="AG1120" s="1901">
        <v>4.5199999999999996</v>
      </c>
      <c r="AH1120" s="264">
        <f t="shared" si="682"/>
        <v>8.9999999999999955E-2</v>
      </c>
      <c r="AI1120" s="77">
        <f t="shared" si="692"/>
        <v>3.4385254485792084E-2</v>
      </c>
      <c r="AJ1120" s="333">
        <v>985</v>
      </c>
      <c r="AK1120" s="270">
        <f t="shared" si="683"/>
        <v>-66.586529810605953</v>
      </c>
      <c r="AL1120" s="506">
        <f t="shared" si="693"/>
        <v>2.6854328165652305E-2</v>
      </c>
      <c r="AM1120" s="77">
        <f t="shared" si="694"/>
        <v>6.5643035174004025E-3</v>
      </c>
      <c r="AN1120" s="77">
        <f t="shared" si="695"/>
        <v>3.2384016672798491E-3</v>
      </c>
      <c r="AO1120" s="13"/>
      <c r="AP1120" s="13"/>
    </row>
    <row r="1121" spans="1:42" ht="16.5" thickBot="1">
      <c r="A1121" s="187"/>
      <c r="B1121" s="699" t="s">
        <v>387</v>
      </c>
      <c r="C1121" s="250" t="s">
        <v>388</v>
      </c>
      <c r="D1121" s="251">
        <v>349</v>
      </c>
      <c r="E1121" s="251">
        <v>5</v>
      </c>
      <c r="F1121" s="251">
        <v>50</v>
      </c>
      <c r="G1121" s="328">
        <v>310</v>
      </c>
      <c r="H1121" s="453">
        <f t="shared" si="684"/>
        <v>331.70000000000005</v>
      </c>
      <c r="I1121" s="453">
        <f t="shared" si="671"/>
        <v>182.43500000000003</v>
      </c>
      <c r="J1121" s="1045">
        <f t="shared" si="685"/>
        <v>170.5</v>
      </c>
      <c r="K1121" s="1094">
        <v>416</v>
      </c>
      <c r="L1121" s="322">
        <v>359</v>
      </c>
      <c r="M1121" s="335">
        <f t="shared" si="672"/>
        <v>1.0286532951289398</v>
      </c>
      <c r="N1121" s="1767">
        <f t="shared" si="686"/>
        <v>208</v>
      </c>
      <c r="O1121" s="329">
        <f t="shared" si="673"/>
        <v>0.21994134897360706</v>
      </c>
      <c r="P1121" s="464">
        <f t="shared" si="687"/>
        <v>0.14013210184449232</v>
      </c>
      <c r="Q1121" s="257">
        <v>3.4243856554967662</v>
      </c>
      <c r="R1121" s="258">
        <f>Q1121*$R$33</f>
        <v>161.0591305349794</v>
      </c>
      <c r="S1121" s="259">
        <f t="shared" si="675"/>
        <v>5.5371668416543091E-2</v>
      </c>
      <c r="T1121" s="696">
        <f t="shared" si="688"/>
        <v>0.11716978356686285</v>
      </c>
      <c r="U1121" s="261">
        <v>2.5470000000000002</v>
      </c>
      <c r="V1121" s="1359">
        <f t="shared" si="689"/>
        <v>3.3493050000000002</v>
      </c>
      <c r="W1121" s="262">
        <f t="shared" si="676"/>
        <v>157.52786206500002</v>
      </c>
      <c r="X1121" s="1761">
        <f>(ROUND(W1121/(1-$AC$1113),0))</f>
        <v>188</v>
      </c>
      <c r="Y1121" s="1760">
        <f t="shared" si="690"/>
        <v>181.26000000000002</v>
      </c>
      <c r="Z1121" s="1761">
        <f t="shared" si="691"/>
        <v>342</v>
      </c>
      <c r="AA1121" s="264">
        <f t="shared" si="677"/>
        <v>0.16208584007978713</v>
      </c>
      <c r="AB1121" s="264">
        <f t="shared" si="678"/>
        <v>0.13092870978152926</v>
      </c>
      <c r="AC1121" s="1677">
        <f t="shared" si="679"/>
        <v>0.14752289528853568</v>
      </c>
      <c r="AD1121" s="266">
        <f t="shared" si="680"/>
        <v>0.21109844719050472</v>
      </c>
      <c r="AE1121" s="261">
        <f t="shared" si="681"/>
        <v>4.422426806710182</v>
      </c>
      <c r="AF1121" s="1760">
        <f>(V1121/(1-$AC$1113))</f>
        <v>3.9872678571428577</v>
      </c>
      <c r="AG1121" s="1901">
        <f>AF1121/(1-$X$1108)</f>
        <v>7.2495779220779228</v>
      </c>
      <c r="AH1121" s="264">
        <f t="shared" si="682"/>
        <v>0.16000000000000006</v>
      </c>
      <c r="AI1121" s="77">
        <f t="shared" si="692"/>
        <v>4.9570620680025133E-3</v>
      </c>
      <c r="AJ1121" s="333">
        <v>142</v>
      </c>
      <c r="AK1121" s="270">
        <f t="shared" si="683"/>
        <v>26.925180480607757</v>
      </c>
      <c r="AL1121" s="506">
        <f t="shared" si="693"/>
        <v>-1.085891748079185E-2</v>
      </c>
      <c r="AM1121" s="77">
        <f t="shared" si="694"/>
        <v>9.4632598931051483E-4</v>
      </c>
      <c r="AN1121" s="77">
        <f t="shared" si="695"/>
        <v>-1.3094923193658096E-3</v>
      </c>
      <c r="AO1121" s="13"/>
      <c r="AP1121" s="13"/>
    </row>
    <row r="1122" spans="1:42" ht="16.5" thickBot="1">
      <c r="A1122" s="187"/>
      <c r="B1122" s="2"/>
      <c r="C1122" s="413"/>
      <c r="D1122" s="414"/>
      <c r="E1122" s="414"/>
      <c r="F1122" s="414"/>
      <c r="G1122" s="415"/>
      <c r="H1122" s="416"/>
      <c r="I1122" s="416"/>
      <c r="J1122" s="1042"/>
      <c r="K1122" s="815"/>
      <c r="L1122" s="779"/>
      <c r="M1122" s="1770"/>
      <c r="N1122" s="1771"/>
      <c r="O1122" s="817"/>
      <c r="P1122" s="1325"/>
      <c r="Q1122" s="1091"/>
      <c r="R1122" s="1092"/>
      <c r="S1122" s="1092"/>
      <c r="T1122" s="1772"/>
      <c r="U1122" s="1773"/>
      <c r="V1122" s="1773"/>
      <c r="W1122" s="1773"/>
      <c r="X1122" s="1773"/>
      <c r="Y1122" s="1773"/>
      <c r="Z1122" s="1773"/>
      <c r="AA1122" s="1774"/>
      <c r="AB1122" s="1774"/>
      <c r="AC1122" s="1774"/>
      <c r="AD1122" s="1774">
        <f>AVERAGE(AD1115:AD1121)</f>
        <v>4.0077835893351101E-2</v>
      </c>
      <c r="AE1122" s="1773"/>
      <c r="AF1122" s="1773"/>
      <c r="AG1122" s="1902"/>
      <c r="AH1122" s="1774"/>
      <c r="AI1122" s="512">
        <f>S1115*AI1115+S1116*AI1116+S1117*AI1117+S1118*AI1118+S1119*AI1119+S1120*AI1120+S1121*AI1121</f>
        <v>-7.7304142371372328E-2</v>
      </c>
      <c r="AJ1122" s="513">
        <f>SUM(AJ1115:AJ1121)</f>
        <v>28646</v>
      </c>
      <c r="AK1122" s="514">
        <f>SUM(AK1115:AK1121)</f>
        <v>-2479.5455466196554</v>
      </c>
      <c r="AM1122" s="307">
        <f>SUM(AM1115:AM1121)</f>
        <v>0.19090460767457049</v>
      </c>
      <c r="AN1122" s="307">
        <f>SUM(AN1115:AN1121)</f>
        <v>0.12059142374754644</v>
      </c>
      <c r="AO1122" s="13"/>
      <c r="AP1122" s="13"/>
    </row>
    <row r="1123" spans="1:42">
      <c r="A1123" s="187"/>
      <c r="B1123" s="2"/>
      <c r="C1123" s="413"/>
      <c r="D1123" s="414"/>
      <c r="E1123" s="414"/>
      <c r="F1123" s="414"/>
      <c r="G1123" s="415"/>
      <c r="H1123" s="416"/>
      <c r="I1123" s="416"/>
      <c r="J1123" s="1042"/>
      <c r="K1123" s="815"/>
      <c r="L1123" s="779"/>
      <c r="M1123" s="1770"/>
      <c r="N1123" s="1771"/>
      <c r="O1123" s="817"/>
      <c r="P1123" s="817"/>
      <c r="AO1123" s="13"/>
      <c r="AP1123" s="13"/>
    </row>
    <row r="1124" spans="1:42">
      <c r="A1124" s="149" t="s">
        <v>134</v>
      </c>
      <c r="B1124" s="2"/>
      <c r="C1124" s="413"/>
      <c r="D1124" s="414"/>
      <c r="E1124" s="414"/>
      <c r="F1124" s="414"/>
      <c r="G1124" s="827"/>
      <c r="H1124" s="785"/>
      <c r="I1124" s="785"/>
      <c r="J1124" s="897"/>
      <c r="K1124" s="533"/>
      <c r="N1124" s="1756"/>
      <c r="AO1124" s="13"/>
      <c r="AP1124" s="13"/>
    </row>
    <row r="1125" spans="1:42" ht="15.75" thickBot="1">
      <c r="A1125" s="187"/>
      <c r="B1125" s="157"/>
      <c r="C1125" s="157" t="s">
        <v>560</v>
      </c>
      <c r="J1125" s="532"/>
      <c r="K1125" s="1850" t="s">
        <v>1471</v>
      </c>
      <c r="L1125" s="1850"/>
      <c r="M1125" s="1850"/>
      <c r="N1125" s="898"/>
      <c r="O1125" s="899"/>
      <c r="P1125" s="459"/>
      <c r="T1125" s="1851"/>
      <c r="U1125" s="309"/>
      <c r="V1125" s="309"/>
      <c r="W1125" s="309"/>
      <c r="X1125" s="309"/>
      <c r="Y1125" s="309"/>
      <c r="Z1125" s="309"/>
      <c r="AA1125" s="346">
        <v>0.09</v>
      </c>
      <c r="AB1125" s="628">
        <v>0.13</v>
      </c>
      <c r="AC1125" s="628">
        <v>0.16</v>
      </c>
      <c r="AD1125" s="585"/>
      <c r="AE1125" s="188"/>
      <c r="AF1125" s="188"/>
      <c r="AG1125" s="1866"/>
      <c r="AH1125" s="1851"/>
      <c r="AO1125" s="13"/>
      <c r="AP1125" s="13"/>
    </row>
    <row r="1126" spans="1:42" ht="60.75" thickBot="1">
      <c r="A1126" s="187"/>
      <c r="B1126" s="369" t="s">
        <v>10</v>
      </c>
      <c r="C1126" s="370" t="s">
        <v>11</v>
      </c>
      <c r="D1126" s="370" t="s">
        <v>12</v>
      </c>
      <c r="E1126" s="370" t="s">
        <v>13</v>
      </c>
      <c r="F1126" s="370" t="s">
        <v>14</v>
      </c>
      <c r="G1126" s="371" t="s">
        <v>1470</v>
      </c>
      <c r="H1126" s="372" t="s">
        <v>1090</v>
      </c>
      <c r="I1126" s="372">
        <f>$C$21</f>
        <v>0.45</v>
      </c>
      <c r="J1126" s="684">
        <f>$C$21</f>
        <v>0.45</v>
      </c>
      <c r="K1126" s="548" t="s">
        <v>15</v>
      </c>
      <c r="L1126" s="423" t="s">
        <v>12</v>
      </c>
      <c r="M1126" s="196" t="s">
        <v>1091</v>
      </c>
      <c r="N1126" s="549" t="s">
        <v>993</v>
      </c>
      <c r="O1126" s="424" t="s">
        <v>1092</v>
      </c>
      <c r="P1126" s="772" t="s">
        <v>1092</v>
      </c>
      <c r="Q1126" s="200" t="s">
        <v>1093</v>
      </c>
      <c r="R1126" s="201" t="s">
        <v>1094</v>
      </c>
      <c r="S1126" s="350" t="s">
        <v>1095</v>
      </c>
      <c r="T1126" s="1117" t="s">
        <v>1095</v>
      </c>
      <c r="U1126" s="204" t="s">
        <v>1096</v>
      </c>
      <c r="V1126" s="205" t="s">
        <v>1093</v>
      </c>
      <c r="W1126" s="206" t="s">
        <v>1094</v>
      </c>
      <c r="X1126" s="207" t="s">
        <v>1097</v>
      </c>
      <c r="Y1126" s="208">
        <f>$X$1109</f>
        <v>0.47</v>
      </c>
      <c r="Z1126" s="207" t="s">
        <v>1098</v>
      </c>
      <c r="AA1126" s="209" t="s">
        <v>1099</v>
      </c>
      <c r="AB1126" s="209" t="s">
        <v>1100</v>
      </c>
      <c r="AC1126" s="210" t="s">
        <v>1092</v>
      </c>
      <c r="AD1126" s="211" t="s">
        <v>1101</v>
      </c>
      <c r="AE1126" s="212" t="s">
        <v>1102</v>
      </c>
      <c r="AF1126" s="208" t="s">
        <v>1103</v>
      </c>
      <c r="AG1126" s="1867" t="s">
        <v>1104</v>
      </c>
      <c r="AH1126" s="213" t="s">
        <v>1105</v>
      </c>
      <c r="AI1126" s="220" t="s">
        <v>1106</v>
      </c>
      <c r="AJ1126" s="483" t="s">
        <v>1107</v>
      </c>
      <c r="AK1126" s="484" t="s">
        <v>1108</v>
      </c>
      <c r="AL1126" s="221" t="s">
        <v>1109</v>
      </c>
      <c r="AM1126" s="221" t="s">
        <v>1175</v>
      </c>
      <c r="AN1126" s="221" t="s">
        <v>1176</v>
      </c>
      <c r="AO1126" s="13"/>
      <c r="AP1126" s="13"/>
    </row>
    <row r="1127" spans="1:42" ht="15.75">
      <c r="A1127" s="187"/>
      <c r="B1127" s="688" t="s">
        <v>389</v>
      </c>
      <c r="C1127" s="376" t="s">
        <v>376</v>
      </c>
      <c r="D1127" s="377">
        <v>71</v>
      </c>
      <c r="E1127" s="377">
        <v>10</v>
      </c>
      <c r="F1127" s="377">
        <v>250</v>
      </c>
      <c r="G1127" s="689">
        <v>68</v>
      </c>
      <c r="H1127" s="1027">
        <f>G1127*(1+$H$33)</f>
        <v>72.760000000000005</v>
      </c>
      <c r="I1127" s="1027">
        <f t="shared" ref="I1127:I1133" si="696">H1127-H1127*$J$1114</f>
        <v>40.018000000000001</v>
      </c>
      <c r="J1127" s="1028">
        <f>G1127-G1127*$J$1114</f>
        <v>37.4</v>
      </c>
      <c r="K1127" s="1775">
        <v>81</v>
      </c>
      <c r="L1127" s="478">
        <v>71</v>
      </c>
      <c r="M1127" s="479">
        <f t="shared" ref="M1127:M1133" si="697">L1127/D1127*100%</f>
        <v>1</v>
      </c>
      <c r="N1127" s="1758">
        <f>K1127-(K1127*$O$33)</f>
        <v>40.5</v>
      </c>
      <c r="O1127" s="437">
        <f t="shared" ref="O1127:O1133" si="698">((N1127/J1127)-1)*100%</f>
        <v>8.2887700534759468E-2</v>
      </c>
      <c r="P1127" s="1599">
        <f>((N1127/I1127)-1)*100%</f>
        <v>1.2044579939027411E-2</v>
      </c>
      <c r="Q1127" s="1674">
        <v>0.8</v>
      </c>
      <c r="R1127" s="258">
        <f t="shared" ref="R1127:R1133" si="699">Q1127*$R$33</f>
        <v>37.626400000000004</v>
      </c>
      <c r="S1127" s="259">
        <f t="shared" ref="S1127:S1133" si="700">((J1127-R1127)/J1127)*100%</f>
        <v>-6.0534759358290176E-3</v>
      </c>
      <c r="T1127" s="1227">
        <f>((I1127-R1127)/I1127)*100%</f>
        <v>5.9763106602029006E-2</v>
      </c>
      <c r="U1127" s="1759">
        <v>0.61099999999999999</v>
      </c>
      <c r="V1127" s="1760">
        <f>U1127*$U$1108</f>
        <v>0.80346499999999998</v>
      </c>
      <c r="W1127" s="1760">
        <f t="shared" ref="W1127:W1133" si="701">V1127*$R$33</f>
        <v>37.789369344999997</v>
      </c>
      <c r="X1127" s="1761">
        <f>(ROUND(W1127/(1-$AA$1125),0))</f>
        <v>42</v>
      </c>
      <c r="Y1127" s="1760">
        <f>Z1127*(1-$X$1109)</f>
        <v>40.28</v>
      </c>
      <c r="Z1127" s="1761">
        <f>ROUND(X1127/(1-$X$1108),0)</f>
        <v>76</v>
      </c>
      <c r="AA1127" s="1762">
        <f t="shared" ref="AA1127:AA1133" si="702">((X1127-W1127)/X1127)*100%</f>
        <v>0.10025311083333339</v>
      </c>
      <c r="AB1127" s="1762">
        <f t="shared" ref="AB1127:AB1133" si="703">((Y1127-W1127)/Y1127)*100%</f>
        <v>6.1832935824230481E-2</v>
      </c>
      <c r="AC1127" s="1776">
        <f t="shared" ref="AC1127:AC1133" si="704">((N1127/Y1127)-1)*100%</f>
        <v>5.4617676266137671E-3</v>
      </c>
      <c r="AD1127" s="1764">
        <f t="shared" ref="AD1127:AD1133" si="705">((N1127*0.96-W1127)/(N1127*0.96))*100%</f>
        <v>2.8051199974279795E-2</v>
      </c>
      <c r="AE1127" s="238">
        <f t="shared" ref="AE1127:AE1133" si="706">N1127/$R$33</f>
        <v>0.8610975272680883</v>
      </c>
      <c r="AF1127" s="1760">
        <f>(V1127/(1-$AA$1125))</f>
        <v>0.8829285714285714</v>
      </c>
      <c r="AG1127" s="1901">
        <v>1.61</v>
      </c>
      <c r="AH1127" s="1762">
        <f t="shared" ref="AH1127:AH1133" si="707">((AF1127-V1127)/AF1127)*100%</f>
        <v>8.9999999999999983E-2</v>
      </c>
      <c r="AI1127" s="1395">
        <f>AJ1127/$AJ$1134</f>
        <v>0.68191676133429724</v>
      </c>
      <c r="AJ1127" s="1765">
        <f>[1]Статистика!D412</f>
        <v>19809</v>
      </c>
      <c r="AK1127" s="1766">
        <f t="shared" ref="AK1127:AK1133" si="708">Q1127*S1127*AJ1127</f>
        <v>-95.930643850269618</v>
      </c>
      <c r="AL1127" s="1459">
        <f>AK1127/$AK$1134</f>
        <v>6.633589428669362E-2</v>
      </c>
      <c r="AM1127" s="1395">
        <f>AJ1127/$AJ$1226</f>
        <v>0.13201247550881681</v>
      </c>
      <c r="AN1127" s="1395">
        <f>AK1127/$AK$1226</f>
        <v>4.6655375775185703E-3</v>
      </c>
      <c r="AO1127" s="13"/>
      <c r="AP1127" s="13"/>
    </row>
    <row r="1128" spans="1:42" ht="15.75">
      <c r="A1128" s="271"/>
      <c r="B1128" s="699" t="s">
        <v>390</v>
      </c>
      <c r="C1128" s="250" t="s">
        <v>378</v>
      </c>
      <c r="D1128" s="251">
        <v>106</v>
      </c>
      <c r="E1128" s="251">
        <v>10</v>
      </c>
      <c r="F1128" s="251">
        <v>200</v>
      </c>
      <c r="G1128" s="328">
        <v>102</v>
      </c>
      <c r="H1128" s="453">
        <f t="shared" ref="H1128:H1133" si="709">G1128*(1+$H$33)</f>
        <v>109.14</v>
      </c>
      <c r="I1128" s="453">
        <f t="shared" si="696"/>
        <v>60.027000000000001</v>
      </c>
      <c r="J1128" s="1045">
        <f t="shared" ref="J1128:J1133" si="710">G1128-G1128*$J$1114</f>
        <v>56.1</v>
      </c>
      <c r="K1128" s="1046">
        <v>124</v>
      </c>
      <c r="L1128" s="322">
        <v>106</v>
      </c>
      <c r="M1128" s="323">
        <f t="shared" si="697"/>
        <v>1</v>
      </c>
      <c r="N1128" s="1767">
        <f t="shared" ref="N1128:N1133" si="711">K1128-(K1128*$O$33)</f>
        <v>62</v>
      </c>
      <c r="O1128" s="329">
        <f t="shared" si="698"/>
        <v>0.10516934046345816</v>
      </c>
      <c r="P1128" s="1601">
        <f t="shared" ref="P1128:P1133" si="712">((N1128/I1128)-1)*100%</f>
        <v>3.2868542489213226E-2</v>
      </c>
      <c r="Q1128" s="257">
        <v>1.1774193548387097</v>
      </c>
      <c r="R1128" s="258">
        <f t="shared" si="699"/>
        <v>55.377564516129034</v>
      </c>
      <c r="S1128" s="259">
        <f t="shared" si="700"/>
        <v>1.2877637858662517E-2</v>
      </c>
      <c r="T1128" s="1227">
        <f t="shared" ref="T1128:T1133" si="713">((I1128-R1128)/I1128)*100%</f>
        <v>7.7455736316507012E-2</v>
      </c>
      <c r="U1128" s="1358">
        <v>0.83399999999999996</v>
      </c>
      <c r="V1128" s="1359">
        <f t="shared" ref="V1128:V1133" si="714">U1128*$U$1108</f>
        <v>1.0967099999999999</v>
      </c>
      <c r="W1128" s="1359">
        <f t="shared" si="701"/>
        <v>51.581561429999994</v>
      </c>
      <c r="X1128" s="1761">
        <f>(ROUND(W1128/(1-$AC$1125),0))</f>
        <v>61</v>
      </c>
      <c r="Y1128" s="1359">
        <f t="shared" ref="Y1128:Y1133" si="715">Z1128*(1-$X$1109)</f>
        <v>58.830000000000005</v>
      </c>
      <c r="Z1128" s="1761">
        <f t="shared" ref="Z1128:Z1133" si="716">ROUND(X1128/(1-$X$1108),0)</f>
        <v>111</v>
      </c>
      <c r="AA1128" s="1361">
        <f t="shared" si="702"/>
        <v>0.15440063229508208</v>
      </c>
      <c r="AB1128" s="1361">
        <f t="shared" si="703"/>
        <v>0.12320990260071411</v>
      </c>
      <c r="AC1128" s="1696">
        <f t="shared" si="704"/>
        <v>5.3884072751997136E-2</v>
      </c>
      <c r="AD1128" s="1669">
        <f t="shared" si="705"/>
        <v>0.13337430393145167</v>
      </c>
      <c r="AE1128" s="261">
        <f t="shared" si="706"/>
        <v>1.3182233750770735</v>
      </c>
      <c r="AF1128" s="1760">
        <f>(V1128/(1-$AC$1125))</f>
        <v>1.3056071428571427</v>
      </c>
      <c r="AG1128" s="1896">
        <v>2.37</v>
      </c>
      <c r="AH1128" s="1361">
        <f t="shared" si="707"/>
        <v>0.16000000000000003</v>
      </c>
      <c r="AI1128" s="77">
        <f t="shared" ref="AI1128:AI1133" si="717">AJ1128/$AJ$1134</f>
        <v>6.4855933078591346E-2</v>
      </c>
      <c r="AJ1128" s="333">
        <f>[1]Статистика!D413</f>
        <v>1884</v>
      </c>
      <c r="AK1128" s="270">
        <f t="shared" si="708"/>
        <v>28.565924031896344</v>
      </c>
      <c r="AL1128" s="506">
        <f t="shared" ref="AL1128:AL1133" si="718">AK1128/$AK$1134</f>
        <v>-1.9753293011764466E-2</v>
      </c>
      <c r="AM1128" s="77">
        <f t="shared" ref="AM1128:AM1133" si="719">AJ1128/$AJ$1226</f>
        <v>1.2555480027190211E-2</v>
      </c>
      <c r="AN1128" s="77">
        <f t="shared" ref="AN1128:AN1133" si="720">AK1128/$AK$1226</f>
        <v>-1.3892890390204402E-3</v>
      </c>
      <c r="AO1128" s="13"/>
      <c r="AP1128" s="13"/>
    </row>
    <row r="1129" spans="1:42" ht="15.75">
      <c r="A1129" s="187"/>
      <c r="B1129" s="657" t="s">
        <v>391</v>
      </c>
      <c r="C1129" s="925" t="s">
        <v>380</v>
      </c>
      <c r="D1129" s="926">
        <v>106</v>
      </c>
      <c r="E1129" s="926">
        <v>10</v>
      </c>
      <c r="F1129" s="926">
        <v>150</v>
      </c>
      <c r="G1129" s="433">
        <v>100</v>
      </c>
      <c r="H1129" s="453">
        <f t="shared" si="709"/>
        <v>107</v>
      </c>
      <c r="I1129" s="453">
        <f t="shared" si="696"/>
        <v>58.85</v>
      </c>
      <c r="J1129" s="1567">
        <f t="shared" si="710"/>
        <v>55</v>
      </c>
      <c r="K1129" s="1738">
        <v>123</v>
      </c>
      <c r="L1129" s="929">
        <v>106</v>
      </c>
      <c r="M1129" s="1516">
        <f t="shared" si="697"/>
        <v>1</v>
      </c>
      <c r="N1129" s="1768">
        <f t="shared" si="711"/>
        <v>61.5</v>
      </c>
      <c r="O1129" s="932">
        <f t="shared" si="698"/>
        <v>0.11818181818181817</v>
      </c>
      <c r="P1129" s="1601">
        <f t="shared" si="712"/>
        <v>4.5029736618521721E-2</v>
      </c>
      <c r="Q1129" s="1573">
        <v>1.2707004219409281</v>
      </c>
      <c r="R1129" s="650">
        <f t="shared" si="699"/>
        <v>59.764852945147673</v>
      </c>
      <c r="S1129" s="933">
        <f t="shared" si="700"/>
        <v>-8.6633689911775877E-2</v>
      </c>
      <c r="T1129" s="1227">
        <f t="shared" si="713"/>
        <v>-1.5545504590444723E-2</v>
      </c>
      <c r="U1129" s="1358">
        <v>0.95199999999999996</v>
      </c>
      <c r="V1129" s="1359">
        <f t="shared" si="714"/>
        <v>1.2518799999999999</v>
      </c>
      <c r="W1129" s="1359">
        <f t="shared" si="701"/>
        <v>58.879672039999996</v>
      </c>
      <c r="X1129" s="1761">
        <f>(ROUND(W1129/(1-$AA$1125),0))</f>
        <v>65</v>
      </c>
      <c r="Y1129" s="1359">
        <f t="shared" si="715"/>
        <v>62.540000000000006</v>
      </c>
      <c r="Z1129" s="1761">
        <f t="shared" si="716"/>
        <v>118</v>
      </c>
      <c r="AA1129" s="1361">
        <f t="shared" si="702"/>
        <v>9.4158891692307761E-2</v>
      </c>
      <c r="AB1129" s="1361">
        <f t="shared" si="703"/>
        <v>5.8527789574672376E-2</v>
      </c>
      <c r="AC1129" s="1673">
        <f t="shared" si="704"/>
        <v>-1.662935721138481E-2</v>
      </c>
      <c r="AD1129" s="1669">
        <f t="shared" si="705"/>
        <v>2.7155819783198443E-3</v>
      </c>
      <c r="AE1129" s="261">
        <f t="shared" si="706"/>
        <v>1.307592541407097</v>
      </c>
      <c r="AF1129" s="1760">
        <f>(V1129/(1-$AA$1125))</f>
        <v>1.3756923076923075</v>
      </c>
      <c r="AG1129" s="1896">
        <v>2.5</v>
      </c>
      <c r="AH1129" s="1361">
        <f t="shared" si="707"/>
        <v>0.09</v>
      </c>
      <c r="AI1129" s="77">
        <f t="shared" si="717"/>
        <v>0.10788667424007711</v>
      </c>
      <c r="AJ1129" s="333">
        <f>[1]Статистика!D414</f>
        <v>3134</v>
      </c>
      <c r="AK1129" s="270">
        <f t="shared" si="708"/>
        <v>-345.00785146315525</v>
      </c>
      <c r="AL1129" s="506">
        <f t="shared" si="718"/>
        <v>0.23857240443898928</v>
      </c>
      <c r="AM1129" s="77">
        <f t="shared" si="719"/>
        <v>2.0885814440134886E-2</v>
      </c>
      <c r="AN1129" s="77">
        <f t="shared" si="720"/>
        <v>1.6779279601757537E-2</v>
      </c>
      <c r="AO1129" s="13"/>
      <c r="AP1129" s="13"/>
    </row>
    <row r="1130" spans="1:42" ht="15.75">
      <c r="A1130" s="187"/>
      <c r="B1130" s="657" t="s">
        <v>392</v>
      </c>
      <c r="C1130" s="925" t="s">
        <v>382</v>
      </c>
      <c r="D1130" s="926">
        <v>126</v>
      </c>
      <c r="E1130" s="926">
        <v>10</v>
      </c>
      <c r="F1130" s="926">
        <v>150</v>
      </c>
      <c r="G1130" s="433">
        <v>118</v>
      </c>
      <c r="H1130" s="453">
        <f t="shared" si="709"/>
        <v>126.26</v>
      </c>
      <c r="I1130" s="453">
        <f t="shared" si="696"/>
        <v>69.443000000000012</v>
      </c>
      <c r="J1130" s="1567">
        <f t="shared" si="710"/>
        <v>64.900000000000006</v>
      </c>
      <c r="K1130" s="1738">
        <v>144</v>
      </c>
      <c r="L1130" s="929">
        <v>126</v>
      </c>
      <c r="M1130" s="1516">
        <f t="shared" si="697"/>
        <v>1</v>
      </c>
      <c r="N1130" s="1768">
        <f t="shared" si="711"/>
        <v>72</v>
      </c>
      <c r="O1130" s="932">
        <f t="shared" si="698"/>
        <v>0.10939907550077033</v>
      </c>
      <c r="P1130" s="1601">
        <f t="shared" si="712"/>
        <v>3.6821565888570218E-2</v>
      </c>
      <c r="Q1130" s="1570">
        <v>1.5246454304133485</v>
      </c>
      <c r="R1130" s="650">
        <f t="shared" si="699"/>
        <v>71.708648528631031</v>
      </c>
      <c r="S1130" s="933">
        <f t="shared" si="700"/>
        <v>-0.10490983865379082</v>
      </c>
      <c r="T1130" s="1227">
        <f t="shared" si="713"/>
        <v>-3.2626017433449277E-2</v>
      </c>
      <c r="U1130" s="261">
        <v>1.167</v>
      </c>
      <c r="V1130" s="262">
        <f t="shared" si="714"/>
        <v>1.534605</v>
      </c>
      <c r="W1130" s="262">
        <f t="shared" si="701"/>
        <v>72.177076964999998</v>
      </c>
      <c r="X1130" s="1761">
        <f>(ROUND(W1130/(1-$AA$1125),0))</f>
        <v>79</v>
      </c>
      <c r="Y1130" s="262">
        <f t="shared" si="715"/>
        <v>76.320000000000007</v>
      </c>
      <c r="Z1130" s="1761">
        <f t="shared" si="716"/>
        <v>144</v>
      </c>
      <c r="AA1130" s="264">
        <f t="shared" si="702"/>
        <v>8.6366114367088631E-2</v>
      </c>
      <c r="AB1130" s="264">
        <f t="shared" si="703"/>
        <v>5.4283582743710812E-2</v>
      </c>
      <c r="AC1130" s="1590">
        <f t="shared" si="704"/>
        <v>-5.6603773584905759E-2</v>
      </c>
      <c r="AD1130" s="266">
        <f t="shared" si="705"/>
        <v>-4.4228544053819339E-2</v>
      </c>
      <c r="AE1130" s="261">
        <f t="shared" si="706"/>
        <v>1.5308400484766016</v>
      </c>
      <c r="AF1130" s="1760">
        <f>(V1130/(1-$AA$1125))</f>
        <v>1.6863791208791208</v>
      </c>
      <c r="AG1130" s="1869">
        <v>3.07</v>
      </c>
      <c r="AH1130" s="264">
        <f t="shared" si="707"/>
        <v>8.9999999999999955E-2</v>
      </c>
      <c r="AI1130" s="77">
        <f t="shared" si="717"/>
        <v>0.10138042617646047</v>
      </c>
      <c r="AJ1130" s="333">
        <f>[1]Статистика!D415</f>
        <v>2945</v>
      </c>
      <c r="AK1130" s="270">
        <f t="shared" si="708"/>
        <v>-471.05365149072185</v>
      </c>
      <c r="AL1130" s="506">
        <f t="shared" si="718"/>
        <v>0.32573288340920192</v>
      </c>
      <c r="AM1130" s="77">
        <f t="shared" si="719"/>
        <v>1.9626267876897651E-2</v>
      </c>
      <c r="AN1130" s="77">
        <f t="shared" si="720"/>
        <v>2.290945232774149E-2</v>
      </c>
      <c r="AO1130" s="13"/>
      <c r="AP1130" s="13"/>
    </row>
    <row r="1131" spans="1:42" ht="15.75">
      <c r="A1131" s="187"/>
      <c r="B1131" s="657" t="s">
        <v>393</v>
      </c>
      <c r="C1131" s="925" t="s">
        <v>384</v>
      </c>
      <c r="D1131" s="926">
        <v>185</v>
      </c>
      <c r="E1131" s="926">
        <v>5</v>
      </c>
      <c r="F1131" s="926">
        <v>100</v>
      </c>
      <c r="G1131" s="433">
        <v>176</v>
      </c>
      <c r="H1131" s="453">
        <f t="shared" si="709"/>
        <v>188.32000000000002</v>
      </c>
      <c r="I1131" s="453">
        <f t="shared" si="696"/>
        <v>103.57600000000001</v>
      </c>
      <c r="J1131" s="1567">
        <f t="shared" si="710"/>
        <v>96.8</v>
      </c>
      <c r="K1131" s="1738">
        <v>187</v>
      </c>
      <c r="L1131" s="929">
        <v>151</v>
      </c>
      <c r="M1131" s="1516">
        <f t="shared" si="697"/>
        <v>0.81621621621621621</v>
      </c>
      <c r="N1131" s="1768">
        <f t="shared" si="711"/>
        <v>93.5</v>
      </c>
      <c r="O1131" s="1571">
        <f t="shared" si="698"/>
        <v>-3.4090909090909061E-2</v>
      </c>
      <c r="P1131" s="1572">
        <f t="shared" si="712"/>
        <v>-9.7281223449447785E-2</v>
      </c>
      <c r="Q1131" s="1570">
        <v>2.5441082410824105</v>
      </c>
      <c r="R1131" s="650">
        <f t="shared" si="699"/>
        <v>119.65704290282902</v>
      </c>
      <c r="S1131" s="933">
        <f t="shared" si="700"/>
        <v>-0.23612647626889485</v>
      </c>
      <c r="T1131" s="1701">
        <f t="shared" si="713"/>
        <v>-0.15525838903635023</v>
      </c>
      <c r="U1131" s="261">
        <v>1.63</v>
      </c>
      <c r="V1131" s="262">
        <f t="shared" si="714"/>
        <v>2.1434499999999996</v>
      </c>
      <c r="W1131" s="262">
        <f t="shared" si="701"/>
        <v>100.81288384999999</v>
      </c>
      <c r="X1131" s="1761">
        <f>(ROUND(W1131/(1-$AA$1125),0))</f>
        <v>111</v>
      </c>
      <c r="Y1131" s="262">
        <f t="shared" si="715"/>
        <v>107.06</v>
      </c>
      <c r="Z1131" s="1761">
        <f t="shared" si="716"/>
        <v>202</v>
      </c>
      <c r="AA1131" s="264">
        <f t="shared" si="702"/>
        <v>9.1775821171171251E-2</v>
      </c>
      <c r="AB1131" s="264">
        <f t="shared" si="703"/>
        <v>5.8351542592938635E-2</v>
      </c>
      <c r="AC1131" s="1590">
        <f t="shared" si="704"/>
        <v>-0.12665794881374937</v>
      </c>
      <c r="AD1131" s="266">
        <f t="shared" si="705"/>
        <v>-0.12313818905971481</v>
      </c>
      <c r="AE1131" s="261">
        <f t="shared" si="706"/>
        <v>1.9879658962855866</v>
      </c>
      <c r="AF1131" s="1760">
        <f>(V1131/(1-$AA$1125))</f>
        <v>2.3554395604395602</v>
      </c>
      <c r="AG1131" s="1869">
        <v>4.28</v>
      </c>
      <c r="AH1131" s="264">
        <f t="shared" si="707"/>
        <v>9.0000000000000052E-2</v>
      </c>
      <c r="AI1131" s="77">
        <f t="shared" si="717"/>
        <v>1.9794140934283451E-2</v>
      </c>
      <c r="AJ1131" s="333">
        <v>575</v>
      </c>
      <c r="AK1131" s="270">
        <f t="shared" si="708"/>
        <v>-345.42050567273122</v>
      </c>
      <c r="AL1131" s="506">
        <f t="shared" si="718"/>
        <v>0.23885775419715535</v>
      </c>
      <c r="AM1131" s="77">
        <f t="shared" si="719"/>
        <v>3.8319538299545499E-3</v>
      </c>
      <c r="AN1131" s="77">
        <f t="shared" si="720"/>
        <v>1.6799348827231546E-2</v>
      </c>
      <c r="AO1131" s="13"/>
      <c r="AP1131" s="13"/>
    </row>
    <row r="1132" spans="1:42" ht="15.75">
      <c r="A1132" s="187"/>
      <c r="B1132" s="699" t="s">
        <v>394</v>
      </c>
      <c r="C1132" s="250" t="s">
        <v>386</v>
      </c>
      <c r="D1132" s="251">
        <v>211</v>
      </c>
      <c r="E1132" s="251">
        <v>5</v>
      </c>
      <c r="F1132" s="251">
        <v>100</v>
      </c>
      <c r="G1132" s="433">
        <v>176</v>
      </c>
      <c r="H1132" s="453">
        <f t="shared" si="709"/>
        <v>188.32000000000002</v>
      </c>
      <c r="I1132" s="453">
        <f t="shared" si="696"/>
        <v>103.57600000000001</v>
      </c>
      <c r="J1132" s="1045">
        <f t="shared" si="710"/>
        <v>96.8</v>
      </c>
      <c r="K1132" s="1046">
        <v>217</v>
      </c>
      <c r="L1132" s="322">
        <v>172</v>
      </c>
      <c r="M1132" s="323">
        <f t="shared" si="697"/>
        <v>0.81516587677725116</v>
      </c>
      <c r="N1132" s="1767">
        <f t="shared" si="711"/>
        <v>108.5</v>
      </c>
      <c r="O1132" s="1631">
        <f t="shared" si="698"/>
        <v>0.12086776859504145</v>
      </c>
      <c r="P1132" s="1572">
        <f t="shared" si="712"/>
        <v>4.7539970649571162E-2</v>
      </c>
      <c r="Q1132" s="257">
        <v>2.243804755944931</v>
      </c>
      <c r="R1132" s="258">
        <f t="shared" si="699"/>
        <v>105.53286908635795</v>
      </c>
      <c r="S1132" s="259">
        <f t="shared" si="700"/>
        <v>-9.0215589735102797E-2</v>
      </c>
      <c r="T1132" s="1701">
        <f t="shared" si="713"/>
        <v>-1.8893074518787561E-2</v>
      </c>
      <c r="U1132" s="261">
        <v>1.85</v>
      </c>
      <c r="V1132" s="262">
        <f t="shared" si="714"/>
        <v>2.43275</v>
      </c>
      <c r="W1132" s="262">
        <f t="shared" si="701"/>
        <v>114.41953075000001</v>
      </c>
      <c r="X1132" s="1761">
        <f>(ROUND(W1132/(1-$AA$1125),0))</f>
        <v>126</v>
      </c>
      <c r="Y1132" s="262">
        <f t="shared" si="715"/>
        <v>121.37</v>
      </c>
      <c r="Z1132" s="1761">
        <f t="shared" si="716"/>
        <v>229</v>
      </c>
      <c r="AA1132" s="264">
        <f t="shared" si="702"/>
        <v>9.1908486111111062E-2</v>
      </c>
      <c r="AB1132" s="264">
        <f t="shared" si="703"/>
        <v>5.7266781329817891E-2</v>
      </c>
      <c r="AC1132" s="1590">
        <f t="shared" si="704"/>
        <v>-0.10603938370272725</v>
      </c>
      <c r="AD1132" s="266">
        <f t="shared" si="705"/>
        <v>-9.8497799059139884E-2</v>
      </c>
      <c r="AE1132" s="261">
        <f t="shared" si="706"/>
        <v>2.3068909063848788</v>
      </c>
      <c r="AF1132" s="1760">
        <f>(V1132/(1-$AA$1125))</f>
        <v>2.6733516483516482</v>
      </c>
      <c r="AG1132" s="1869">
        <v>4.8600000000000003</v>
      </c>
      <c r="AH1132" s="264">
        <f t="shared" si="707"/>
        <v>8.9999999999999955E-2</v>
      </c>
      <c r="AI1132" s="77">
        <f t="shared" si="717"/>
        <v>2.079245412922992E-2</v>
      </c>
      <c r="AJ1132" s="333">
        <v>604</v>
      </c>
      <c r="AK1132" s="270">
        <f t="shared" si="708"/>
        <v>-122.26540626203222</v>
      </c>
      <c r="AL1132" s="506">
        <f t="shared" si="718"/>
        <v>8.4546342432319899E-2</v>
      </c>
      <c r="AM1132" s="77">
        <f t="shared" si="719"/>
        <v>4.0252175883348663E-3</v>
      </c>
      <c r="AN1132" s="77">
        <f t="shared" si="720"/>
        <v>5.9463152174442785E-3</v>
      </c>
      <c r="AO1132" s="13"/>
      <c r="AP1132" s="13"/>
    </row>
    <row r="1133" spans="1:42" ht="16.5" thickBot="1">
      <c r="A1133" s="187"/>
      <c r="B1133" s="657" t="s">
        <v>395</v>
      </c>
      <c r="C1133" s="925" t="s">
        <v>388</v>
      </c>
      <c r="D1133" s="926">
        <v>356</v>
      </c>
      <c r="E1133" s="926">
        <v>5</v>
      </c>
      <c r="F1133" s="926">
        <v>50</v>
      </c>
      <c r="G1133" s="433">
        <v>354</v>
      </c>
      <c r="H1133" s="453">
        <f t="shared" si="709"/>
        <v>378.78000000000003</v>
      </c>
      <c r="I1133" s="453">
        <f t="shared" si="696"/>
        <v>208.32900000000001</v>
      </c>
      <c r="J1133" s="1567">
        <f t="shared" si="710"/>
        <v>194.7</v>
      </c>
      <c r="K1133" s="1738">
        <v>417</v>
      </c>
      <c r="L1133" s="929">
        <v>361</v>
      </c>
      <c r="M1133" s="1008">
        <f t="shared" si="697"/>
        <v>1.0140449438202248</v>
      </c>
      <c r="N1133" s="1768">
        <f t="shared" si="711"/>
        <v>208.5</v>
      </c>
      <c r="O1133" s="932">
        <f t="shared" si="698"/>
        <v>7.0878274268104891E-2</v>
      </c>
      <c r="P1133" s="1550">
        <f t="shared" si="712"/>
        <v>8.2081707299508366E-4</v>
      </c>
      <c r="Q1133" s="1570">
        <v>4.9504565537555232</v>
      </c>
      <c r="R1133" s="650">
        <f t="shared" si="699"/>
        <v>232.83482309278352</v>
      </c>
      <c r="S1133" s="933">
        <f t="shared" si="700"/>
        <v>-0.1958645253866643</v>
      </c>
      <c r="T1133" s="696">
        <f t="shared" si="713"/>
        <v>-0.11763039755763006</v>
      </c>
      <c r="U1133" s="261">
        <v>3.0230000000000001</v>
      </c>
      <c r="V1133" s="262">
        <f t="shared" si="714"/>
        <v>3.9752450000000001</v>
      </c>
      <c r="W1133" s="262">
        <f t="shared" si="701"/>
        <v>186.96769808500002</v>
      </c>
      <c r="X1133" s="1761">
        <f>(ROUND(W1133/(1-$AB$1125),0))</f>
        <v>215</v>
      </c>
      <c r="Y1133" s="262">
        <f t="shared" si="715"/>
        <v>207.23000000000002</v>
      </c>
      <c r="Z1133" s="1761">
        <f t="shared" si="716"/>
        <v>391</v>
      </c>
      <c r="AA1133" s="264">
        <f t="shared" si="702"/>
        <v>0.13038279960465105</v>
      </c>
      <c r="AB1133" s="264">
        <f t="shared" si="703"/>
        <v>9.7776875524779192E-2</v>
      </c>
      <c r="AC1133" s="1677">
        <f t="shared" si="704"/>
        <v>6.128456304588914E-3</v>
      </c>
      <c r="AD1133" s="266">
        <f t="shared" si="705"/>
        <v>6.5908782548960695E-2</v>
      </c>
      <c r="AE1133" s="261">
        <f t="shared" si="706"/>
        <v>4.4330576403801585</v>
      </c>
      <c r="AF1133" s="1760">
        <f>(V1133/(1-$AB$1125))</f>
        <v>4.5692471264367818</v>
      </c>
      <c r="AG1133" s="1869">
        <v>8.31</v>
      </c>
      <c r="AH1133" s="264">
        <f t="shared" si="707"/>
        <v>0.13</v>
      </c>
      <c r="AI1133" s="77">
        <f t="shared" si="717"/>
        <v>3.3736101070604842E-3</v>
      </c>
      <c r="AJ1133" s="333">
        <v>98</v>
      </c>
      <c r="AK1133" s="270">
        <f t="shared" si="708"/>
        <v>-95.022644688165471</v>
      </c>
      <c r="AL1133" s="506">
        <f t="shared" si="718"/>
        <v>6.5708014247404412E-2</v>
      </c>
      <c r="AM1133" s="77">
        <f t="shared" si="719"/>
        <v>6.530982179748624E-4</v>
      </c>
      <c r="AN1133" s="77">
        <f t="shared" si="720"/>
        <v>4.6213775047709675E-3</v>
      </c>
      <c r="AO1133" s="13"/>
      <c r="AP1133" s="13"/>
    </row>
    <row r="1134" spans="1:42" ht="16.5" thickBot="1">
      <c r="A1134" s="149" t="s">
        <v>135</v>
      </c>
      <c r="B1134" s="2"/>
      <c r="C1134" s="413"/>
      <c r="D1134" s="414"/>
      <c r="E1134" s="414"/>
      <c r="F1134" s="414"/>
      <c r="G1134" s="827"/>
      <c r="H1134" s="785"/>
      <c r="I1134" s="785"/>
      <c r="J1134" s="897"/>
      <c r="K1134" s="533"/>
      <c r="N1134" s="1756"/>
      <c r="P1134" s="1325"/>
      <c r="Q1134" s="1091"/>
      <c r="R1134" s="1092"/>
      <c r="S1134" s="1092"/>
      <c r="T1134" s="365"/>
      <c r="U1134" s="366"/>
      <c r="V1134" s="366"/>
      <c r="W1134" s="366"/>
      <c r="X1134" s="366"/>
      <c r="Y1134" s="366"/>
      <c r="Z1134" s="366"/>
      <c r="AA1134" s="367"/>
      <c r="AB1134" s="367"/>
      <c r="AC1134" s="367"/>
      <c r="AD1134" s="367">
        <f>AVERAGE(AD1127:AD1133)</f>
        <v>-5.1163805342374358E-3</v>
      </c>
      <c r="AE1134" s="366"/>
      <c r="AF1134" s="366"/>
      <c r="AG1134" s="1872"/>
      <c r="AH1134" s="367"/>
      <c r="AI1134" s="512">
        <f>S1127*AI1127+S1128*AI1128+S1129*AI1129+S1130*AI1130+S1131*AI1131+S1132*AI1132+S1133*AI1133</f>
        <v>-3.0485695123706361E-2</v>
      </c>
      <c r="AJ1134" s="513">
        <f>SUM(AJ1127:AJ1133)</f>
        <v>29049</v>
      </c>
      <c r="AK1134" s="514">
        <f>SUM(AK1127:AK1133)</f>
        <v>-1446.1347793951793</v>
      </c>
      <c r="AM1134" s="307">
        <f>SUM(AM1127:AM1133)</f>
        <v>0.19359030748930381</v>
      </c>
      <c r="AN1134" s="307">
        <f>SUM(AN1127:AN1133)</f>
        <v>7.0332022017443943E-2</v>
      </c>
      <c r="AO1134" s="13"/>
      <c r="AP1134" s="13"/>
    </row>
    <row r="1135" spans="1:42" ht="15.75" thickBot="1">
      <c r="A1135" s="187"/>
      <c r="B1135" s="157"/>
      <c r="C1135" s="157" t="s">
        <v>136</v>
      </c>
      <c r="J1135" s="532"/>
      <c r="K1135" s="1850" t="s">
        <v>1472</v>
      </c>
      <c r="L1135" s="1850"/>
      <c r="M1135" s="1850"/>
      <c r="N1135" s="898"/>
      <c r="O1135" s="899"/>
      <c r="P1135" s="459"/>
      <c r="T1135" s="1851"/>
      <c r="U1135" s="309"/>
      <c r="V1135" s="309"/>
      <c r="W1135" s="309"/>
      <c r="X1135" s="309"/>
      <c r="Y1135" s="309"/>
      <c r="Z1135" s="309"/>
      <c r="AA1135" s="346">
        <v>0.09</v>
      </c>
      <c r="AB1135" s="628">
        <v>0.18</v>
      </c>
      <c r="AC1135" s="628"/>
      <c r="AD1135" s="585"/>
      <c r="AE1135" s="188"/>
      <c r="AF1135" s="188"/>
      <c r="AG1135" s="1866"/>
      <c r="AH1135" s="1851"/>
      <c r="AO1135" s="13"/>
      <c r="AP1135" s="13"/>
    </row>
    <row r="1136" spans="1:42" ht="60.75" thickBot="1">
      <c r="A1136" s="187"/>
      <c r="B1136" s="369" t="s">
        <v>10</v>
      </c>
      <c r="C1136" s="370" t="s">
        <v>11</v>
      </c>
      <c r="D1136" s="370" t="s">
        <v>12</v>
      </c>
      <c r="E1136" s="370" t="s">
        <v>13</v>
      </c>
      <c r="F1136" s="370" t="s">
        <v>14</v>
      </c>
      <c r="G1136" s="371" t="s">
        <v>15</v>
      </c>
      <c r="H1136" s="372" t="s">
        <v>1090</v>
      </c>
      <c r="I1136" s="372">
        <f>$C$21</f>
        <v>0.45</v>
      </c>
      <c r="J1136" s="684">
        <f>$C$21</f>
        <v>0.45</v>
      </c>
      <c r="K1136" s="548" t="s">
        <v>15</v>
      </c>
      <c r="L1136" s="423" t="s">
        <v>12</v>
      </c>
      <c r="M1136" s="196" t="s">
        <v>1091</v>
      </c>
      <c r="N1136" s="549" t="s">
        <v>993</v>
      </c>
      <c r="O1136" s="198" t="s">
        <v>1092</v>
      </c>
      <c r="P1136" s="772" t="s">
        <v>1092</v>
      </c>
      <c r="Q1136" s="200" t="s">
        <v>1093</v>
      </c>
      <c r="R1136" s="201" t="s">
        <v>1094</v>
      </c>
      <c r="S1136" s="350" t="s">
        <v>1095</v>
      </c>
      <c r="T1136" s="1117" t="s">
        <v>1095</v>
      </c>
      <c r="U1136" s="204" t="s">
        <v>1096</v>
      </c>
      <c r="V1136" s="205" t="s">
        <v>1093</v>
      </c>
      <c r="W1136" s="206" t="s">
        <v>1094</v>
      </c>
      <c r="X1136" s="207" t="s">
        <v>1097</v>
      </c>
      <c r="Y1136" s="208">
        <f>$X$1109</f>
        <v>0.47</v>
      </c>
      <c r="Z1136" s="207" t="s">
        <v>1098</v>
      </c>
      <c r="AA1136" s="209" t="s">
        <v>1099</v>
      </c>
      <c r="AB1136" s="209" t="s">
        <v>1100</v>
      </c>
      <c r="AC1136" s="210" t="s">
        <v>1092</v>
      </c>
      <c r="AD1136" s="211" t="s">
        <v>1101</v>
      </c>
      <c r="AE1136" s="212" t="s">
        <v>1102</v>
      </c>
      <c r="AF1136" s="208" t="s">
        <v>1103</v>
      </c>
      <c r="AG1136" s="1867" t="s">
        <v>1104</v>
      </c>
      <c r="AH1136" s="213" t="s">
        <v>1105</v>
      </c>
      <c r="AI1136" s="220" t="s">
        <v>1106</v>
      </c>
      <c r="AJ1136" s="483" t="s">
        <v>1107</v>
      </c>
      <c r="AK1136" s="484" t="s">
        <v>1108</v>
      </c>
      <c r="AL1136" s="221" t="s">
        <v>1109</v>
      </c>
      <c r="AM1136" s="221" t="s">
        <v>1175</v>
      </c>
      <c r="AN1136" s="221" t="s">
        <v>1176</v>
      </c>
      <c r="AO1136" s="13"/>
      <c r="AP1136" s="13"/>
    </row>
    <row r="1137" spans="1:42" ht="15.75">
      <c r="A1137" s="187"/>
      <c r="B1137" s="688" t="s">
        <v>396</v>
      </c>
      <c r="C1137" s="376">
        <v>16</v>
      </c>
      <c r="D1137" s="377">
        <v>104</v>
      </c>
      <c r="E1137" s="377">
        <v>10</v>
      </c>
      <c r="F1137" s="377">
        <v>200</v>
      </c>
      <c r="G1137" s="689">
        <v>102</v>
      </c>
      <c r="H1137" s="1027">
        <f>G1137*(1+$H$33)</f>
        <v>109.14</v>
      </c>
      <c r="I1137" s="1027">
        <f t="shared" ref="I1137:I1143" si="721">H1137-H1137*$J$1114</f>
        <v>60.027000000000001</v>
      </c>
      <c r="J1137" s="1028">
        <f>G1137-G1137*$J$1114</f>
        <v>56.1</v>
      </c>
      <c r="K1137" s="1029">
        <v>124</v>
      </c>
      <c r="L1137" s="478">
        <v>104</v>
      </c>
      <c r="M1137" s="479">
        <f t="shared" ref="M1137:M1143" si="722">L1137/D1137*100%</f>
        <v>1</v>
      </c>
      <c r="N1137" s="1758">
        <f>K1137-(K1137*$O$33)</f>
        <v>62</v>
      </c>
      <c r="O1137" s="1329">
        <f t="shared" ref="O1137:O1143" si="723">((N1137/J1137)-1)*100%</f>
        <v>0.10516934046345816</v>
      </c>
      <c r="P1137" s="1121">
        <f>((N1137/I1137)-1)*100%</f>
        <v>3.2868542489213226E-2</v>
      </c>
      <c r="Q1137" s="326">
        <v>1.2586074074074074</v>
      </c>
      <c r="R1137" s="258">
        <f t="shared" ref="R1137:R1143" si="724">Q1137*$R$33</f>
        <v>59.196082192592591</v>
      </c>
      <c r="S1137" s="1314">
        <f t="shared" ref="S1137:S1143" si="725">((J1137-R1137)/J1137)*100%</f>
        <v>-5.518863088400338E-2</v>
      </c>
      <c r="T1137" s="1227">
        <f>((I1137-R1137)/I1137)*100%</f>
        <v>1.3842401042987484E-2</v>
      </c>
      <c r="U1137" s="1759">
        <v>0.92500000000000004</v>
      </c>
      <c r="V1137" s="1760">
        <f>U1137*$U$1108</f>
        <v>1.216375</v>
      </c>
      <c r="W1137" s="1760">
        <f t="shared" ref="W1137:W1143" si="726">V1137*$R$33</f>
        <v>57.209765375000003</v>
      </c>
      <c r="X1137" s="1761">
        <f>(ROUND(W1137/(1-$AA$1135),0))</f>
        <v>63</v>
      </c>
      <c r="Y1137" s="1760">
        <f>Z1137*(1-$X$1109)</f>
        <v>60.95</v>
      </c>
      <c r="Z1137" s="1761">
        <f>ROUND(X1137/(1-$X$1108),0)</f>
        <v>115</v>
      </c>
      <c r="AA1137" s="1762">
        <f t="shared" ref="AA1137:AA1143" si="727">((X1137-W1137)/X1137)*100%</f>
        <v>9.1908486111111062E-2</v>
      </c>
      <c r="AB1137" s="1762">
        <f t="shared" ref="AB1137:AB1143" si="728">((Y1137-W1137)/Y1137)*100%</f>
        <v>6.1365621410992603E-2</v>
      </c>
      <c r="AC1137" s="1777">
        <f t="shared" ref="AC1137:AC1143" si="729">((N1137/Y1137)-1)*100%</f>
        <v>1.722723543888427E-2</v>
      </c>
      <c r="AD1137" s="1764">
        <f t="shared" ref="AD1137:AD1143" si="730">((N1137*0.96-W1137)/(N1137*0.96))*100%</f>
        <v>3.8814425823252563E-2</v>
      </c>
      <c r="AE1137" s="238">
        <f t="shared" ref="AE1137:AE1143" si="731">N1137/$R$33</f>
        <v>1.3182233750770735</v>
      </c>
      <c r="AF1137" s="1760">
        <f>(V1137/(1-$AA$1135))</f>
        <v>1.3366758241758241</v>
      </c>
      <c r="AG1137" s="1901">
        <f>AF1137/(1-$X$1108)</f>
        <v>2.43031968031968</v>
      </c>
      <c r="AH1137" s="1762">
        <f t="shared" ref="AH1137:AH1143" si="732">((AF1137-V1137)/AF1137)*100%</f>
        <v>8.9999999999999955E-2</v>
      </c>
      <c r="AI1137" s="92">
        <f>AJ1137/$AJ$1144</f>
        <v>0.5545328238971865</v>
      </c>
      <c r="AJ1137" s="338">
        <f>3193</f>
        <v>3193</v>
      </c>
      <c r="AK1137" s="297">
        <f t="shared" ref="AK1137:AK1143" si="733">Q1137*S1137*AJ1137</f>
        <v>-221.7883970954486</v>
      </c>
      <c r="AL1137" s="866">
        <f>AK1137/$AK$1144</f>
        <v>0.32961060424722577</v>
      </c>
      <c r="AM1137" s="92">
        <f t="shared" ref="AM1137:AM1143" si="734">AJ1137/$AJ$1226</f>
        <v>2.1279006224425873E-2</v>
      </c>
      <c r="AN1137" s="92">
        <f t="shared" ref="AN1137:AN1143" si="735">AK1137/$AK$1226</f>
        <v>1.078656474485361E-2</v>
      </c>
      <c r="AO1137" s="13"/>
      <c r="AP1137" s="13"/>
    </row>
    <row r="1138" spans="1:42" ht="15.75">
      <c r="A1138" s="271"/>
      <c r="B1138" s="657" t="s">
        <v>397</v>
      </c>
      <c r="C1138" s="925">
        <v>20</v>
      </c>
      <c r="D1138" s="926">
        <v>181</v>
      </c>
      <c r="E1138" s="926">
        <v>10</v>
      </c>
      <c r="F1138" s="926">
        <v>100</v>
      </c>
      <c r="G1138" s="433">
        <v>175</v>
      </c>
      <c r="H1138" s="453">
        <f t="shared" ref="H1138:H1143" si="736">G1138*(1+$H$33)</f>
        <v>187.25</v>
      </c>
      <c r="I1138" s="453">
        <f t="shared" si="721"/>
        <v>102.9875</v>
      </c>
      <c r="J1138" s="1567">
        <f t="shared" ref="J1138:J1143" si="737">G1138-G1138*$J$1114</f>
        <v>96.25</v>
      </c>
      <c r="K1138" s="1568">
        <v>217</v>
      </c>
      <c r="L1138" s="929">
        <v>181</v>
      </c>
      <c r="M1138" s="1516">
        <f t="shared" si="722"/>
        <v>1</v>
      </c>
      <c r="N1138" s="1768">
        <f t="shared" ref="N1138:N1143" si="738">K1138-(K1138*$O$33)</f>
        <v>108.5</v>
      </c>
      <c r="O1138" s="598">
        <f t="shared" si="723"/>
        <v>0.1272727272727272</v>
      </c>
      <c r="P1138" s="330">
        <f t="shared" ref="P1138:P1143" si="739">((N1138/I1138)-1)*100%</f>
        <v>5.3525913338997588E-2</v>
      </c>
      <c r="Q1138" s="1010">
        <v>2.2108157319737805</v>
      </c>
      <c r="R1138" s="496">
        <f t="shared" si="724"/>
        <v>103.98129632192281</v>
      </c>
      <c r="S1138" s="1778">
        <f t="shared" si="725"/>
        <v>-8.0325156591405836E-2</v>
      </c>
      <c r="T1138" s="1227">
        <f t="shared" ref="T1138:T1143" si="740">((I1138-R1138)/I1138)*100%</f>
        <v>-9.6496790573886663E-3</v>
      </c>
      <c r="U1138" s="1358">
        <v>1.621</v>
      </c>
      <c r="V1138" s="1359">
        <f t="shared" ref="V1138:V1143" si="741">U1138*$U$1108</f>
        <v>2.131615</v>
      </c>
      <c r="W1138" s="1359">
        <f t="shared" si="726"/>
        <v>100.25624829500001</v>
      </c>
      <c r="X1138" s="1761">
        <f t="shared" ref="X1138:X1143" si="742">(ROUND(W1138/(1-$AA$1135),0))</f>
        <v>110</v>
      </c>
      <c r="Y1138" s="1359">
        <f t="shared" ref="Y1138:Y1143" si="743">Z1138*(1-$X$1109)</f>
        <v>106</v>
      </c>
      <c r="Z1138" s="1761">
        <f t="shared" ref="Z1138:Z1143" si="744">ROUND(X1138/(1-$X$1108),0)</f>
        <v>200</v>
      </c>
      <c r="AA1138" s="1361">
        <f t="shared" si="727"/>
        <v>8.8579560954545403E-2</v>
      </c>
      <c r="AB1138" s="1361">
        <f t="shared" si="728"/>
        <v>5.4186336839622581E-2</v>
      </c>
      <c r="AC1138" s="1673">
        <f t="shared" si="729"/>
        <v>2.3584905660377409E-2</v>
      </c>
      <c r="AD1138" s="1669">
        <f t="shared" si="730"/>
        <v>3.7478414986559051E-2</v>
      </c>
      <c r="AE1138" s="261">
        <f t="shared" si="731"/>
        <v>2.3068909063848788</v>
      </c>
      <c r="AF1138" s="1760">
        <f t="shared" ref="AF1138:AF1143" si="745">(V1138/(1-$AA$1135))</f>
        <v>2.3424340659340661</v>
      </c>
      <c r="AG1138" s="1896">
        <v>4.26</v>
      </c>
      <c r="AH1138" s="1361">
        <f t="shared" si="732"/>
        <v>9.0000000000000052E-2</v>
      </c>
      <c r="AI1138" s="77">
        <f t="shared" ref="AI1138:AI1143" si="746">AJ1138/$AJ$1144</f>
        <v>0.19868009725599167</v>
      </c>
      <c r="AJ1138" s="333">
        <v>1144</v>
      </c>
      <c r="AK1138" s="270">
        <f t="shared" si="733"/>
        <v>-203.15623312617481</v>
      </c>
      <c r="AL1138" s="506">
        <f t="shared" ref="AL1138:AL1143" si="747">AK1138/$AK$1144</f>
        <v>0.30192043242230954</v>
      </c>
      <c r="AM1138" s="77">
        <f t="shared" si="734"/>
        <v>7.6239220547269651E-3</v>
      </c>
      <c r="AN1138" s="77">
        <f t="shared" si="735"/>
        <v>9.8803990228261938E-3</v>
      </c>
      <c r="AO1138" s="13"/>
      <c r="AP1138" s="13"/>
    </row>
    <row r="1139" spans="1:42" ht="15.75">
      <c r="A1139" s="187"/>
      <c r="B1139" s="699" t="s">
        <v>398</v>
      </c>
      <c r="C1139" s="250">
        <v>26</v>
      </c>
      <c r="D1139" s="251">
        <v>267</v>
      </c>
      <c r="E1139" s="251">
        <v>5</v>
      </c>
      <c r="F1139" s="251">
        <v>50</v>
      </c>
      <c r="G1139" s="328">
        <v>256</v>
      </c>
      <c r="H1139" s="453">
        <f t="shared" si="736"/>
        <v>273.92</v>
      </c>
      <c r="I1139" s="453">
        <f t="shared" si="721"/>
        <v>150.65600000000001</v>
      </c>
      <c r="J1139" s="1045">
        <f t="shared" si="737"/>
        <v>140.80000000000001</v>
      </c>
      <c r="K1139" s="1094">
        <v>320</v>
      </c>
      <c r="L1139" s="322">
        <v>267</v>
      </c>
      <c r="M1139" s="323">
        <f t="shared" si="722"/>
        <v>1</v>
      </c>
      <c r="N1139" s="1767">
        <f t="shared" si="738"/>
        <v>160</v>
      </c>
      <c r="O1139" s="386">
        <f t="shared" si="723"/>
        <v>0.13636363636363624</v>
      </c>
      <c r="P1139" s="330">
        <f t="shared" si="739"/>
        <v>6.2022090059473234E-2</v>
      </c>
      <c r="Q1139" s="336">
        <v>3.2572034820457016</v>
      </c>
      <c r="R1139" s="382">
        <f t="shared" si="724"/>
        <v>153.19605137105549</v>
      </c>
      <c r="S1139" s="918">
        <f t="shared" si="725"/>
        <v>-8.8040137578519015E-2</v>
      </c>
      <c r="T1139" s="1227">
        <f t="shared" si="740"/>
        <v>-1.6859941662167342E-2</v>
      </c>
      <c r="U1139" s="1358">
        <v>2.4460000000000002</v>
      </c>
      <c r="V1139" s="1359">
        <f t="shared" si="741"/>
        <v>3.2164900000000003</v>
      </c>
      <c r="W1139" s="1359">
        <f t="shared" si="726"/>
        <v>151.28117417000001</v>
      </c>
      <c r="X1139" s="1761">
        <f t="shared" si="742"/>
        <v>166</v>
      </c>
      <c r="Y1139" s="1359">
        <f t="shared" si="743"/>
        <v>160.06</v>
      </c>
      <c r="Z1139" s="1761">
        <f t="shared" si="744"/>
        <v>302</v>
      </c>
      <c r="AA1139" s="1361">
        <f t="shared" si="727"/>
        <v>8.8667625481927623E-2</v>
      </c>
      <c r="AB1139" s="1361">
        <f t="shared" si="728"/>
        <v>5.4847093777333426E-2</v>
      </c>
      <c r="AC1139" s="1673">
        <f t="shared" si="729"/>
        <v>-3.7485942771464664E-4</v>
      </c>
      <c r="AD1139" s="1669">
        <f t="shared" si="730"/>
        <v>1.5096522330729039E-2</v>
      </c>
      <c r="AE1139" s="261">
        <f t="shared" si="731"/>
        <v>3.4018667743924476</v>
      </c>
      <c r="AF1139" s="1760">
        <f t="shared" si="745"/>
        <v>3.5346043956043958</v>
      </c>
      <c r="AG1139" s="1896">
        <v>6.28</v>
      </c>
      <c r="AH1139" s="1361">
        <f t="shared" si="732"/>
        <v>8.9999999999999955E-2</v>
      </c>
      <c r="AI1139" s="77">
        <f t="shared" si="746"/>
        <v>8.0930878777353249E-2</v>
      </c>
      <c r="AJ1139" s="333">
        <v>466</v>
      </c>
      <c r="AK1139" s="270">
        <f t="shared" si="733"/>
        <v>-133.63232348912919</v>
      </c>
      <c r="AL1139" s="506">
        <f t="shared" si="747"/>
        <v>0.1985975437356029</v>
      </c>
      <c r="AM1139" s="77">
        <f t="shared" si="734"/>
        <v>3.105548669145774E-3</v>
      </c>
      <c r="AN1139" s="77">
        <f t="shared" si="735"/>
        <v>6.4991393968205653E-3</v>
      </c>
      <c r="AO1139" s="13"/>
      <c r="AP1139" s="13"/>
    </row>
    <row r="1140" spans="1:42" ht="15.75">
      <c r="A1140" s="187"/>
      <c r="B1140" s="699" t="s">
        <v>399</v>
      </c>
      <c r="C1140" s="250">
        <v>32</v>
      </c>
      <c r="D1140" s="251">
        <v>363</v>
      </c>
      <c r="E1140" s="251">
        <v>5</v>
      </c>
      <c r="F1140" s="251">
        <v>30</v>
      </c>
      <c r="G1140" s="328">
        <v>480</v>
      </c>
      <c r="H1140" s="453">
        <f t="shared" si="736"/>
        <v>513.6</v>
      </c>
      <c r="I1140" s="453">
        <f t="shared" si="721"/>
        <v>282.48</v>
      </c>
      <c r="J1140" s="1045">
        <f t="shared" si="737"/>
        <v>264</v>
      </c>
      <c r="K1140" s="1094">
        <v>635</v>
      </c>
      <c r="L1140" s="322">
        <v>522</v>
      </c>
      <c r="M1140" s="335">
        <f t="shared" si="722"/>
        <v>1.4380165289256199</v>
      </c>
      <c r="N1140" s="1767">
        <f t="shared" si="738"/>
        <v>317.5</v>
      </c>
      <c r="O1140" s="386">
        <f t="shared" si="723"/>
        <v>0.20265151515151514</v>
      </c>
      <c r="P1140" s="330">
        <f t="shared" si="739"/>
        <v>0.12397337864627578</v>
      </c>
      <c r="Q1140" s="331">
        <v>4.4331612903225812</v>
      </c>
      <c r="R1140" s="382">
        <f t="shared" si="724"/>
        <v>208.50487496774196</v>
      </c>
      <c r="S1140" s="918">
        <f t="shared" si="725"/>
        <v>0.21020880694037139</v>
      </c>
      <c r="T1140" s="1227">
        <f t="shared" si="740"/>
        <v>0.26187738966389856</v>
      </c>
      <c r="U1140" s="261">
        <v>3.3250000000000002</v>
      </c>
      <c r="V1140" s="262">
        <f t="shared" si="741"/>
        <v>4.3723749999999999</v>
      </c>
      <c r="W1140" s="262">
        <f t="shared" si="726"/>
        <v>205.64591337499999</v>
      </c>
      <c r="X1140" s="1761">
        <f t="shared" si="742"/>
        <v>226</v>
      </c>
      <c r="Y1140" s="262">
        <f t="shared" si="743"/>
        <v>217.83</v>
      </c>
      <c r="Z1140" s="1761">
        <f t="shared" si="744"/>
        <v>411</v>
      </c>
      <c r="AA1140" s="264">
        <f t="shared" si="727"/>
        <v>9.0062330199115082E-2</v>
      </c>
      <c r="AB1140" s="264">
        <f t="shared" si="728"/>
        <v>5.5933923816737917E-2</v>
      </c>
      <c r="AC1140" s="1675">
        <f t="shared" si="729"/>
        <v>0.45755864665105817</v>
      </c>
      <c r="AD1140" s="266">
        <f t="shared" si="730"/>
        <v>0.32530868315288719</v>
      </c>
      <c r="AE1140" s="261">
        <f t="shared" si="731"/>
        <v>6.7505793804350134</v>
      </c>
      <c r="AF1140" s="1760">
        <f>(V1140/(1-$AB$1135))</f>
        <v>5.3321646341463413</v>
      </c>
      <c r="AG1140" s="1869">
        <v>9.6999999999999993</v>
      </c>
      <c r="AH1140" s="264">
        <f t="shared" si="732"/>
        <v>0.18</v>
      </c>
      <c r="AI1140" s="77">
        <f t="shared" si="746"/>
        <v>8.1625564432094479E-3</v>
      </c>
      <c r="AJ1140" s="333">
        <v>47</v>
      </c>
      <c r="AK1140" s="270">
        <f t="shared" si="733"/>
        <v>43.798808653208518</v>
      </c>
      <c r="AL1140" s="506">
        <f t="shared" si="747"/>
        <v>-6.509155562037712E-2</v>
      </c>
      <c r="AM1140" s="77">
        <f t="shared" si="734"/>
        <v>3.1322057392671969E-4</v>
      </c>
      <c r="AN1140" s="77">
        <f t="shared" si="735"/>
        <v>-2.1301325564022631E-3</v>
      </c>
      <c r="AO1140" s="13"/>
      <c r="AP1140" s="13"/>
    </row>
    <row r="1141" spans="1:42" ht="15.75">
      <c r="A1141" s="187"/>
      <c r="B1141" s="699" t="s">
        <v>400</v>
      </c>
      <c r="C1141" s="250" t="s">
        <v>401</v>
      </c>
      <c r="D1141" s="251">
        <v>157</v>
      </c>
      <c r="E1141" s="251">
        <v>10</v>
      </c>
      <c r="F1141" s="251">
        <v>100</v>
      </c>
      <c r="G1141" s="433">
        <v>150</v>
      </c>
      <c r="H1141" s="453">
        <f t="shared" si="736"/>
        <v>160.5</v>
      </c>
      <c r="I1141" s="453">
        <f t="shared" si="721"/>
        <v>88.274999999999991</v>
      </c>
      <c r="J1141" s="1045">
        <f t="shared" si="737"/>
        <v>82.5</v>
      </c>
      <c r="K1141" s="1094">
        <v>183</v>
      </c>
      <c r="L1141" s="322">
        <v>157</v>
      </c>
      <c r="M1141" s="323">
        <f t="shared" si="722"/>
        <v>1</v>
      </c>
      <c r="N1141" s="1767">
        <f t="shared" si="738"/>
        <v>91.5</v>
      </c>
      <c r="O1141" s="386">
        <f t="shared" si="723"/>
        <v>0.10909090909090913</v>
      </c>
      <c r="P1141" s="330">
        <f t="shared" si="739"/>
        <v>3.6533559898046075E-2</v>
      </c>
      <c r="Q1141" s="331">
        <v>1.8499999999999999</v>
      </c>
      <c r="R1141" s="382">
        <f t="shared" si="724"/>
        <v>87.011049999999997</v>
      </c>
      <c r="S1141" s="918">
        <f t="shared" si="725"/>
        <v>-5.467939393939391E-2</v>
      </c>
      <c r="T1141" s="1701">
        <f t="shared" si="740"/>
        <v>1.4318323421127094E-2</v>
      </c>
      <c r="U1141" s="261">
        <v>1.355</v>
      </c>
      <c r="V1141" s="262">
        <f t="shared" si="741"/>
        <v>1.781825</v>
      </c>
      <c r="W1141" s="262">
        <f t="shared" si="726"/>
        <v>83.804575225000008</v>
      </c>
      <c r="X1141" s="1761">
        <f t="shared" si="742"/>
        <v>92</v>
      </c>
      <c r="Y1141" s="262">
        <f t="shared" si="743"/>
        <v>88.51</v>
      </c>
      <c r="Z1141" s="1761">
        <f t="shared" si="744"/>
        <v>167</v>
      </c>
      <c r="AA1141" s="264">
        <f t="shared" si="727"/>
        <v>8.908070407608687E-2</v>
      </c>
      <c r="AB1141" s="264">
        <f t="shared" si="728"/>
        <v>5.3162634448084931E-2</v>
      </c>
      <c r="AC1141" s="1675">
        <f t="shared" si="729"/>
        <v>3.378149361654037E-2</v>
      </c>
      <c r="AD1141" s="266">
        <f t="shared" si="730"/>
        <v>4.5940628130692114E-2</v>
      </c>
      <c r="AE1141" s="261">
        <f t="shared" si="731"/>
        <v>1.945442561605681</v>
      </c>
      <c r="AF1141" s="1760">
        <f t="shared" si="745"/>
        <v>1.9580494505494506</v>
      </c>
      <c r="AG1141" s="1869">
        <f>AF1141/(1-$X$1108)</f>
        <v>3.5600899100899097</v>
      </c>
      <c r="AH1141" s="264">
        <f t="shared" si="732"/>
        <v>9.0000000000000011E-2</v>
      </c>
      <c r="AI1141" s="77">
        <f t="shared" si="746"/>
        <v>8.6314692601597784E-2</v>
      </c>
      <c r="AJ1141" s="333">
        <v>497</v>
      </c>
      <c r="AK1141" s="270">
        <f t="shared" si="733"/>
        <v>-50.274968757575728</v>
      </c>
      <c r="AL1141" s="506">
        <f t="shared" si="747"/>
        <v>7.4716094474335318E-2</v>
      </c>
      <c r="AM1141" s="77">
        <f t="shared" si="734"/>
        <v>3.3121409625868022E-3</v>
      </c>
      <c r="AN1141" s="77">
        <f t="shared" si="735"/>
        <v>2.4450972758313498E-3</v>
      </c>
      <c r="AO1141" s="13"/>
      <c r="AP1141" s="13"/>
    </row>
    <row r="1142" spans="1:42" ht="15.75">
      <c r="A1142" s="187"/>
      <c r="B1142" s="657" t="s">
        <v>402</v>
      </c>
      <c r="C1142" s="925" t="s">
        <v>403</v>
      </c>
      <c r="D1142" s="926">
        <v>215</v>
      </c>
      <c r="E1142" s="926">
        <v>10</v>
      </c>
      <c r="F1142" s="926">
        <v>50</v>
      </c>
      <c r="G1142" s="433">
        <v>205</v>
      </c>
      <c r="H1142" s="453">
        <f t="shared" si="736"/>
        <v>219.35000000000002</v>
      </c>
      <c r="I1142" s="453">
        <f t="shared" si="721"/>
        <v>120.64250000000001</v>
      </c>
      <c r="J1142" s="1567">
        <f t="shared" si="737"/>
        <v>112.75</v>
      </c>
      <c r="K1142" s="1568">
        <v>251</v>
      </c>
      <c r="L1142" s="929">
        <v>215</v>
      </c>
      <c r="M1142" s="1516">
        <f t="shared" si="722"/>
        <v>1</v>
      </c>
      <c r="N1142" s="1768">
        <f t="shared" si="738"/>
        <v>125.5</v>
      </c>
      <c r="O1142" s="598">
        <f t="shared" si="723"/>
        <v>0.11308203991130816</v>
      </c>
      <c r="P1142" s="330">
        <f t="shared" si="739"/>
        <v>4.0263588702157183E-2</v>
      </c>
      <c r="Q1142" s="1010">
        <v>2.6449438202247193</v>
      </c>
      <c r="R1142" s="496">
        <f t="shared" si="724"/>
        <v>124.39964269662923</v>
      </c>
      <c r="S1142" s="1778">
        <f t="shared" si="725"/>
        <v>-0.10332277336256522</v>
      </c>
      <c r="T1142" s="1701">
        <f t="shared" si="740"/>
        <v>-3.1142778843518796E-2</v>
      </c>
      <c r="U1142" s="261">
        <v>1.9419999999999999</v>
      </c>
      <c r="V1142" s="262">
        <f t="shared" si="741"/>
        <v>2.5537299999999998</v>
      </c>
      <c r="W1142" s="262">
        <f t="shared" si="726"/>
        <v>120.10958309</v>
      </c>
      <c r="X1142" s="1761">
        <f t="shared" si="742"/>
        <v>132</v>
      </c>
      <c r="Y1142" s="262">
        <f t="shared" si="743"/>
        <v>127.2</v>
      </c>
      <c r="Z1142" s="1761">
        <f t="shared" si="744"/>
        <v>240</v>
      </c>
      <c r="AA1142" s="264">
        <f t="shared" si="727"/>
        <v>9.0078915984848476E-2</v>
      </c>
      <c r="AB1142" s="264">
        <f t="shared" si="728"/>
        <v>5.5742271305031461E-2</v>
      </c>
      <c r="AC1142" s="1590">
        <f t="shared" si="729"/>
        <v>-1.3364779874213806E-2</v>
      </c>
      <c r="AD1142" s="266">
        <f t="shared" si="730"/>
        <v>3.0745095451526296E-3</v>
      </c>
      <c r="AE1142" s="261">
        <f t="shared" si="731"/>
        <v>2.6683392511640762</v>
      </c>
      <c r="AF1142" s="1760">
        <f t="shared" si="745"/>
        <v>2.8062967032967032</v>
      </c>
      <c r="AG1142" s="1869">
        <v>5.0999999999999996</v>
      </c>
      <c r="AH1142" s="264">
        <f t="shared" si="732"/>
        <v>9.0000000000000038E-2</v>
      </c>
      <c r="AI1142" s="77">
        <f t="shared" si="746"/>
        <v>2.0840569642236888E-2</v>
      </c>
      <c r="AJ1142" s="333">
        <v>120</v>
      </c>
      <c r="AK1142" s="270">
        <f t="shared" si="733"/>
        <v>-32.793951707255538</v>
      </c>
      <c r="AL1142" s="506">
        <f t="shared" si="747"/>
        <v>4.8736698490277598E-2</v>
      </c>
      <c r="AM1142" s="77">
        <f t="shared" si="734"/>
        <v>7.9971210364268867E-4</v>
      </c>
      <c r="AN1142" s="77">
        <f t="shared" si="735"/>
        <v>1.5949169927842609E-3</v>
      </c>
      <c r="AO1142" s="13"/>
      <c r="AP1142" s="13"/>
    </row>
    <row r="1143" spans="1:42" ht="16.5" thickBot="1">
      <c r="A1143" s="187"/>
      <c r="B1143" s="657" t="s">
        <v>404</v>
      </c>
      <c r="C1143" s="925" t="s">
        <v>405</v>
      </c>
      <c r="D1143" s="926">
        <v>237</v>
      </c>
      <c r="E1143" s="926">
        <v>10</v>
      </c>
      <c r="F1143" s="926">
        <v>50</v>
      </c>
      <c r="G1143" s="433">
        <v>230</v>
      </c>
      <c r="H1143" s="453">
        <f t="shared" si="736"/>
        <v>246.10000000000002</v>
      </c>
      <c r="I1143" s="453">
        <f t="shared" si="721"/>
        <v>135.35500000000002</v>
      </c>
      <c r="J1143" s="1567">
        <f t="shared" si="737"/>
        <v>126.5</v>
      </c>
      <c r="K1143" s="1568">
        <v>288</v>
      </c>
      <c r="L1143" s="929">
        <v>237</v>
      </c>
      <c r="M1143" s="495">
        <f t="shared" si="722"/>
        <v>1</v>
      </c>
      <c r="N1143" s="1768">
        <f t="shared" si="738"/>
        <v>144</v>
      </c>
      <c r="O1143" s="598">
        <f t="shared" si="723"/>
        <v>0.13833992094861669</v>
      </c>
      <c r="P1143" s="343">
        <f t="shared" si="739"/>
        <v>6.3869084998706915E-2</v>
      </c>
      <c r="Q1143" s="1010">
        <v>2.9265681961030801</v>
      </c>
      <c r="R1143" s="496">
        <f t="shared" si="724"/>
        <v>137.64528196731618</v>
      </c>
      <c r="S1143" s="1778">
        <f t="shared" si="725"/>
        <v>-8.8104995789060711E-2</v>
      </c>
      <c r="T1143" s="696">
        <f t="shared" si="740"/>
        <v>-1.6920556812206135E-2</v>
      </c>
      <c r="U1143" s="261">
        <v>2.1709999999999998</v>
      </c>
      <c r="V1143" s="262">
        <f t="shared" si="741"/>
        <v>2.8548649999999998</v>
      </c>
      <c r="W1143" s="262">
        <f t="shared" si="726"/>
        <v>134.272865545</v>
      </c>
      <c r="X1143" s="1761">
        <f t="shared" si="742"/>
        <v>148</v>
      </c>
      <c r="Y1143" s="262">
        <f t="shared" si="743"/>
        <v>142.57</v>
      </c>
      <c r="Z1143" s="1761">
        <f t="shared" si="744"/>
        <v>269</v>
      </c>
      <c r="AA1143" s="264">
        <f t="shared" si="727"/>
        <v>9.2750908479729721E-2</v>
      </c>
      <c r="AB1143" s="264">
        <f t="shared" si="728"/>
        <v>5.8196916988146115E-2</v>
      </c>
      <c r="AC1143" s="1677">
        <f t="shared" si="729"/>
        <v>1.0030160622851891E-2</v>
      </c>
      <c r="AD1143" s="266">
        <f t="shared" si="730"/>
        <v>2.8697442527488477E-2</v>
      </c>
      <c r="AE1143" s="261">
        <f t="shared" si="731"/>
        <v>3.0616800969532032</v>
      </c>
      <c r="AF1143" s="1760">
        <f t="shared" si="745"/>
        <v>3.1372142857142853</v>
      </c>
      <c r="AG1143" s="1869">
        <v>5.7</v>
      </c>
      <c r="AH1143" s="264">
        <f t="shared" si="732"/>
        <v>8.9999999999999955E-2</v>
      </c>
      <c r="AI1143" s="77">
        <f t="shared" si="746"/>
        <v>5.0538381382424453E-2</v>
      </c>
      <c r="AJ1143" s="333">
        <v>291</v>
      </c>
      <c r="AK1143" s="270">
        <f t="shared" si="733"/>
        <v>-75.032976070871712</v>
      </c>
      <c r="AL1143" s="506">
        <f t="shared" si="747"/>
        <v>0.11151018225062588</v>
      </c>
      <c r="AM1143" s="77">
        <f t="shared" si="734"/>
        <v>1.93930185133352E-3</v>
      </c>
      <c r="AN1143" s="77">
        <f t="shared" si="735"/>
        <v>3.6491902416301747E-3</v>
      </c>
      <c r="AO1143" s="13"/>
      <c r="AP1143" s="13"/>
    </row>
    <row r="1144" spans="1:42" ht="15.75" thickBot="1">
      <c r="A1144" s="187"/>
      <c r="J1144" s="532"/>
      <c r="K1144" s="533"/>
      <c r="N1144" s="1756"/>
      <c r="P1144" s="886"/>
      <c r="Q1144" s="819"/>
      <c r="R1144" s="820"/>
      <c r="S1144" s="1043"/>
      <c r="T1144" s="886"/>
      <c r="U1144" s="1333"/>
      <c r="V1144" s="1333"/>
      <c r="W1144" s="1333"/>
      <c r="X1144" s="1333"/>
      <c r="Y1144" s="1333"/>
      <c r="Z1144" s="1333"/>
      <c r="AA1144" s="1043"/>
      <c r="AB1144" s="1043"/>
      <c r="AC1144" s="1043"/>
      <c r="AD1144" s="1043">
        <f>AVERAGE(AD1137:AD1143)</f>
        <v>7.0630089499537294E-2</v>
      </c>
      <c r="AE1144" s="1333"/>
      <c r="AF1144" s="1333"/>
      <c r="AG1144" s="1893"/>
      <c r="AH1144" s="1043"/>
      <c r="AI1144" s="512">
        <f>S1137*AI1137+S1138*AI1138+S1139*AI1139+S1140*AI1140+S1141*AI1141+S1142*AI1142+S1143*AI1143</f>
        <v>-6.3297866117503765E-2</v>
      </c>
      <c r="AJ1144" s="513">
        <f>SUM(AJ1137:AJ1143)</f>
        <v>5758</v>
      </c>
      <c r="AK1144" s="514">
        <f>SUM(AK1137:AK1143)</f>
        <v>-672.88004159324714</v>
      </c>
      <c r="AM1144" s="307">
        <f>SUM(AM1137:AM1143)</f>
        <v>3.8372852439788344E-2</v>
      </c>
      <c r="AN1144" s="307">
        <f>SUM(AN1137:AN1143)</f>
        <v>3.2725175118343892E-2</v>
      </c>
      <c r="AO1144" s="13"/>
      <c r="AP1144" s="13"/>
    </row>
    <row r="1145" spans="1:42">
      <c r="A1145" s="187"/>
      <c r="J1145" s="532"/>
      <c r="K1145" s="533"/>
      <c r="N1145" s="1756"/>
      <c r="AO1145" s="13"/>
      <c r="AP1145" s="13"/>
    </row>
    <row r="1146" spans="1:42" ht="15.75" thickBot="1">
      <c r="A1146" s="149" t="s">
        <v>137</v>
      </c>
      <c r="B1146" s="157"/>
      <c r="C1146" s="157" t="s">
        <v>138</v>
      </c>
      <c r="F1146" s="158" t="s">
        <v>1077</v>
      </c>
      <c r="G1146" s="158"/>
      <c r="H1146" s="159"/>
      <c r="I1146" s="160"/>
      <c r="J1146" s="541"/>
      <c r="K1146" s="1850" t="s">
        <v>1473</v>
      </c>
      <c r="L1146" s="1850"/>
      <c r="M1146" s="1850"/>
      <c r="N1146" s="898"/>
      <c r="O1146" s="899"/>
      <c r="P1146" s="459"/>
      <c r="U1146" s="309"/>
      <c r="V1146" s="309"/>
      <c r="W1146" s="309"/>
      <c r="X1146" s="309"/>
      <c r="Y1146" s="309"/>
      <c r="Z1146" s="346">
        <v>0.11</v>
      </c>
      <c r="AA1146" s="346">
        <v>0.09</v>
      </c>
      <c r="AB1146" s="628">
        <v>0.08</v>
      </c>
      <c r="AC1146" s="628">
        <v>0.16</v>
      </c>
      <c r="AD1146" s="585">
        <v>0.26</v>
      </c>
      <c r="AE1146" s="188"/>
      <c r="AF1146" s="188"/>
      <c r="AG1146" s="1866"/>
      <c r="AH1146" s="1851"/>
      <c r="AO1146" s="13"/>
      <c r="AP1146" s="13"/>
    </row>
    <row r="1147" spans="1:42" ht="60.75" thickBot="1">
      <c r="A1147" s="187"/>
      <c r="B1147" s="369" t="s">
        <v>10</v>
      </c>
      <c r="C1147" s="370" t="s">
        <v>11</v>
      </c>
      <c r="D1147" s="370" t="s">
        <v>12</v>
      </c>
      <c r="E1147" s="370" t="s">
        <v>13</v>
      </c>
      <c r="F1147" s="370" t="s">
        <v>14</v>
      </c>
      <c r="G1147" s="371" t="s">
        <v>15</v>
      </c>
      <c r="H1147" s="372" t="s">
        <v>1090</v>
      </c>
      <c r="I1147" s="372">
        <f>$C$21</f>
        <v>0.45</v>
      </c>
      <c r="J1147" s="684">
        <f>$C$21</f>
        <v>0.45</v>
      </c>
      <c r="K1147" s="548" t="s">
        <v>15</v>
      </c>
      <c r="L1147" s="423" t="s">
        <v>12</v>
      </c>
      <c r="M1147" s="196" t="s">
        <v>1091</v>
      </c>
      <c r="N1147" s="549" t="s">
        <v>993</v>
      </c>
      <c r="O1147" s="424" t="s">
        <v>1092</v>
      </c>
      <c r="P1147" s="772" t="s">
        <v>1092</v>
      </c>
      <c r="Q1147" s="200" t="s">
        <v>1093</v>
      </c>
      <c r="R1147" s="201" t="s">
        <v>1094</v>
      </c>
      <c r="S1147" s="350" t="s">
        <v>1095</v>
      </c>
      <c r="T1147" s="1117" t="s">
        <v>1095</v>
      </c>
      <c r="U1147" s="204" t="s">
        <v>1096</v>
      </c>
      <c r="V1147" s="205" t="s">
        <v>1093</v>
      </c>
      <c r="W1147" s="206" t="s">
        <v>1094</v>
      </c>
      <c r="X1147" s="207" t="s">
        <v>1097</v>
      </c>
      <c r="Y1147" s="208">
        <f>$X$1109</f>
        <v>0.47</v>
      </c>
      <c r="Z1147" s="207" t="s">
        <v>1098</v>
      </c>
      <c r="AA1147" s="209" t="s">
        <v>1099</v>
      </c>
      <c r="AB1147" s="209" t="s">
        <v>1100</v>
      </c>
      <c r="AC1147" s="210" t="s">
        <v>1092</v>
      </c>
      <c r="AD1147" s="211" t="s">
        <v>1101</v>
      </c>
      <c r="AE1147" s="212" t="s">
        <v>1102</v>
      </c>
      <c r="AF1147" s="208" t="s">
        <v>1103</v>
      </c>
      <c r="AG1147" s="1867" t="s">
        <v>1104</v>
      </c>
      <c r="AH1147" s="213" t="s">
        <v>1105</v>
      </c>
      <c r="AI1147" s="220" t="s">
        <v>1106</v>
      </c>
      <c r="AJ1147" s="483" t="s">
        <v>1107</v>
      </c>
      <c r="AK1147" s="484" t="s">
        <v>1108</v>
      </c>
      <c r="AL1147" s="221" t="s">
        <v>1109</v>
      </c>
      <c r="AM1147" s="221" t="s">
        <v>1175</v>
      </c>
      <c r="AN1147" s="221" t="s">
        <v>1176</v>
      </c>
      <c r="AO1147" s="13"/>
      <c r="AP1147" s="13"/>
    </row>
    <row r="1148" spans="1:42" ht="15.75">
      <c r="A1148" s="187"/>
      <c r="B1148" s="642" t="s">
        <v>406</v>
      </c>
      <c r="C1148" s="1630">
        <v>16</v>
      </c>
      <c r="D1148" s="1594">
        <v>180</v>
      </c>
      <c r="E1148" s="1594">
        <v>10</v>
      </c>
      <c r="F1148" s="1594">
        <v>100</v>
      </c>
      <c r="G1148" s="1520">
        <v>165</v>
      </c>
      <c r="H1148" s="1027">
        <f>G1148*(1+$H$33)</f>
        <v>176.55</v>
      </c>
      <c r="I1148" s="1027">
        <f>H1148-H1148*$J$1114</f>
        <v>97.102500000000006</v>
      </c>
      <c r="J1148" s="1737">
        <f>G1148-G1148*$J$1114</f>
        <v>90.75</v>
      </c>
      <c r="K1148" s="1779">
        <v>181</v>
      </c>
      <c r="L1148" s="1596">
        <v>150</v>
      </c>
      <c r="M1148" s="1780">
        <f t="shared" ref="M1148:M1160" si="748">L1148/D1148*100%</f>
        <v>0.83333333333333337</v>
      </c>
      <c r="N1148" s="1781">
        <f>K1148-(K1148*$O$33)</f>
        <v>90.5</v>
      </c>
      <c r="O1148" s="1782">
        <f t="shared" ref="O1148:O1160" si="749">((N1148/J1148)-1)*100%</f>
        <v>-2.7548209366391463E-3</v>
      </c>
      <c r="P1148" s="1121">
        <f>((N1148/I1148)-1)*100%</f>
        <v>-6.7995159753868384E-2</v>
      </c>
      <c r="Q1148" s="1783">
        <v>2.11</v>
      </c>
      <c r="R1148" s="650">
        <f t="shared" ref="R1148:R1160" si="750">Q1148*$R$33</f>
        <v>99.239629999999991</v>
      </c>
      <c r="S1148" s="1784">
        <f t="shared" ref="S1148:S1160" si="751">((J1148-R1148)/J1148)*100%</f>
        <v>-9.3549641873278133E-2</v>
      </c>
      <c r="T1148" s="1785">
        <f>((I1148-R1148)/I1148)*100%</f>
        <v>-2.200901109652156E-2</v>
      </c>
      <c r="U1148" s="1358">
        <v>1.599</v>
      </c>
      <c r="V1148" s="1359">
        <f>U1148*$U$1108</f>
        <v>2.1026849999999997</v>
      </c>
      <c r="W1148" s="1359">
        <f t="shared" ref="W1148:W1160" si="752">V1148*$R$33</f>
        <v>98.895583604999985</v>
      </c>
      <c r="X1148" s="1360">
        <f>(ROUND(W1148/(1-$AA$1146),0))</f>
        <v>109</v>
      </c>
      <c r="Y1148" s="1359">
        <f>Z1148*(1-$X$1109)</f>
        <v>104.94000000000001</v>
      </c>
      <c r="Z1148" s="1360">
        <f>ROUND(X1148/(1-$X$1108),0)</f>
        <v>198</v>
      </c>
      <c r="AA1148" s="1361">
        <f t="shared" ref="AA1148:AA1160" si="753">((X1148-W1148)/X1148)*100%</f>
        <v>9.2701067844036839E-2</v>
      </c>
      <c r="AB1148" s="1361">
        <f t="shared" ref="AB1148:AB1160" si="754">((Y1148-W1148)/Y1148)*100%</f>
        <v>5.7598784019439936E-2</v>
      </c>
      <c r="AC1148" s="1362">
        <f t="shared" ref="AC1148:AC1160" si="755">((N1148/Y1148)-1)*100%</f>
        <v>-0.13760243948923201</v>
      </c>
      <c r="AD1148" s="1669">
        <f t="shared" ref="AD1148:AD1160" si="756">((N1148*0.96-W1148)/(N1148*0.96))*100%</f>
        <v>-0.13830091626381202</v>
      </c>
      <c r="AE1148" s="261">
        <f t="shared" ref="AE1148:AE1160" si="757">N1148/$R$33</f>
        <v>1.9241808942657284</v>
      </c>
      <c r="AF1148" s="1359">
        <f>(V1148/(1-$AA$1146))</f>
        <v>2.3106428571428568</v>
      </c>
      <c r="AG1148" s="1896">
        <v>4.2</v>
      </c>
      <c r="AH1148" s="1361">
        <f t="shared" ref="AH1148:AH1160" si="758">((AF1148-V1148)/AF1148)*100%</f>
        <v>8.9999999999999983E-2</v>
      </c>
      <c r="AI1148" s="92">
        <f>AJ1148/$AJ$1161</f>
        <v>0.6014827418570734</v>
      </c>
      <c r="AJ1148" s="338">
        <v>4949</v>
      </c>
      <c r="AK1148" s="865">
        <f t="shared" ref="AK1148:AK1160" si="759">Q1148*S1148*AJ1148</f>
        <v>-976.88184480110078</v>
      </c>
      <c r="AL1148" s="866">
        <f>AK1148/$AK$1161</f>
        <v>0.60148674897123655</v>
      </c>
      <c r="AM1148" s="92">
        <f>AJ1148/$AJ$1226</f>
        <v>3.2981460007730549E-2</v>
      </c>
      <c r="AN1148" s="92">
        <f>AK1148/$AK$1226</f>
        <v>4.7510146630819157E-2</v>
      </c>
      <c r="AO1148" s="13"/>
      <c r="AP1148" s="13"/>
    </row>
    <row r="1149" spans="1:42" ht="15.75">
      <c r="A1149" s="187"/>
      <c r="B1149" s="699" t="s">
        <v>407</v>
      </c>
      <c r="C1149" s="250">
        <v>20</v>
      </c>
      <c r="D1149" s="251">
        <v>284</v>
      </c>
      <c r="E1149" s="251">
        <v>10</v>
      </c>
      <c r="F1149" s="251">
        <v>50</v>
      </c>
      <c r="G1149" s="328">
        <v>246</v>
      </c>
      <c r="H1149" s="453">
        <f t="shared" ref="H1149:H1160" si="760">G1149*(1+$H$33)</f>
        <v>263.22000000000003</v>
      </c>
      <c r="I1149" s="453">
        <f>H1149-H1149*$J$1114</f>
        <v>144.77100000000002</v>
      </c>
      <c r="J1149" s="1045">
        <f t="shared" ref="J1149:J1160" si="761">G1149-G1149*$J$1114</f>
        <v>135.30000000000001</v>
      </c>
      <c r="K1149" s="1094">
        <v>323</v>
      </c>
      <c r="L1149" s="322">
        <v>284</v>
      </c>
      <c r="M1149" s="323">
        <f t="shared" si="748"/>
        <v>1</v>
      </c>
      <c r="N1149" s="1767">
        <f t="shared" ref="N1149:N1160" si="762">K1149-(K1149*$O$33)</f>
        <v>161.5</v>
      </c>
      <c r="O1149" s="329">
        <f t="shared" si="749"/>
        <v>0.19364375461936434</v>
      </c>
      <c r="P1149" s="330">
        <f t="shared" ref="P1149:P1160" si="763">((N1149/I1149)-1)*100%</f>
        <v>0.11555491085921887</v>
      </c>
      <c r="Q1149" s="331">
        <v>3.28</v>
      </c>
      <c r="R1149" s="382">
        <f t="shared" si="750"/>
        <v>154.26823999999999</v>
      </c>
      <c r="S1149" s="918">
        <f t="shared" si="751"/>
        <v>-0.14019393939393923</v>
      </c>
      <c r="T1149" s="964">
        <f t="shared" ref="T1149:T1160" si="764">((I1149-R1149)/I1149)*100%</f>
        <v>-6.5601812517700198E-2</v>
      </c>
      <c r="U1149" s="1358">
        <v>2.5510000000000002</v>
      </c>
      <c r="V1149" s="1359">
        <f t="shared" ref="V1149:V1160" si="765">U1149*$U$1108</f>
        <v>3.354565</v>
      </c>
      <c r="W1149" s="1359">
        <f t="shared" si="752"/>
        <v>157.77525564500002</v>
      </c>
      <c r="X1149" s="1360">
        <f>(ROUND(W1149/(1-$AA$1146),0))</f>
        <v>173</v>
      </c>
      <c r="Y1149" s="1359">
        <f t="shared" ref="Y1149:Y1160" si="766">Z1149*(1-$X$1109)</f>
        <v>166.95000000000002</v>
      </c>
      <c r="Z1149" s="1360">
        <f t="shared" ref="Z1149:Z1160" si="767">ROUND(X1149/(1-$X$1108),0)</f>
        <v>315</v>
      </c>
      <c r="AA1149" s="1361">
        <f t="shared" si="753"/>
        <v>8.8004302630057707E-2</v>
      </c>
      <c r="AB1149" s="1361">
        <f t="shared" si="754"/>
        <v>5.4955042557651997E-2</v>
      </c>
      <c r="AC1149" s="1362">
        <f t="shared" si="755"/>
        <v>-3.2644504342617675E-2</v>
      </c>
      <c r="AD1149" s="1669">
        <f t="shared" si="756"/>
        <v>-1.7642257772187975E-2</v>
      </c>
      <c r="AE1149" s="261">
        <f t="shared" si="757"/>
        <v>3.4337592754023771</v>
      </c>
      <c r="AF1149" s="1359">
        <f>(V1149/(1-$AA$1146))</f>
        <v>3.6863351648351648</v>
      </c>
      <c r="AG1149" s="1896">
        <v>6.7</v>
      </c>
      <c r="AH1149" s="1361">
        <f t="shared" si="758"/>
        <v>8.9999999999999983E-2</v>
      </c>
      <c r="AI1149" s="77">
        <f t="shared" ref="AI1149:AI1160" si="768">AJ1149/$AJ$1161</f>
        <v>0.21633446767136608</v>
      </c>
      <c r="AJ1149" s="333">
        <v>1780</v>
      </c>
      <c r="AK1149" s="859">
        <f t="shared" si="759"/>
        <v>-818.50829575757473</v>
      </c>
      <c r="AL1149" s="506">
        <f t="shared" ref="AL1149:AL1160" si="769">AK1149/$AK$1161</f>
        <v>0.50397281558800056</v>
      </c>
      <c r="AM1149" s="77">
        <f t="shared" ref="AM1149:AM1160" si="770">AJ1149/$AJ$1226</f>
        <v>1.1862396204033215E-2</v>
      </c>
      <c r="AN1149" s="77">
        <f t="shared" ref="AN1149:AN1160" si="771">AK1149/$AK$1226</f>
        <v>3.9807730440421886E-2</v>
      </c>
      <c r="AO1149" s="13"/>
      <c r="AP1149" s="13"/>
    </row>
    <row r="1150" spans="1:42" ht="15.75">
      <c r="A1150" s="187"/>
      <c r="B1150" s="657" t="s">
        <v>408</v>
      </c>
      <c r="C1150" s="925">
        <v>26</v>
      </c>
      <c r="D1150" s="926">
        <v>451</v>
      </c>
      <c r="E1150" s="926">
        <v>10</v>
      </c>
      <c r="F1150" s="926">
        <v>40</v>
      </c>
      <c r="G1150" s="433">
        <v>402</v>
      </c>
      <c r="H1150" s="453">
        <f t="shared" si="760"/>
        <v>430.14000000000004</v>
      </c>
      <c r="I1150" s="453">
        <f t="shared" ref="I1150:I1160" si="772">H1150-H1150*$J$1114</f>
        <v>236.57700000000003</v>
      </c>
      <c r="J1150" s="1567">
        <f t="shared" si="761"/>
        <v>221.1</v>
      </c>
      <c r="K1150" s="1568">
        <v>455</v>
      </c>
      <c r="L1150" s="929">
        <v>380</v>
      </c>
      <c r="M1150" s="1516">
        <f t="shared" si="748"/>
        <v>0.84257206208425717</v>
      </c>
      <c r="N1150" s="1768">
        <f t="shared" si="762"/>
        <v>227.5</v>
      </c>
      <c r="O1150" s="1571">
        <f t="shared" si="749"/>
        <v>2.8946178199909633E-2</v>
      </c>
      <c r="P1150" s="1132">
        <f t="shared" si="763"/>
        <v>-3.8368057757093954E-2</v>
      </c>
      <c r="Q1150" s="1012">
        <v>5.54</v>
      </c>
      <c r="R1150" s="496">
        <f t="shared" si="750"/>
        <v>260.56281999999999</v>
      </c>
      <c r="S1150" s="1778">
        <f t="shared" si="751"/>
        <v>-0.17848403437358659</v>
      </c>
      <c r="T1150" s="964">
        <f t="shared" si="764"/>
        <v>-0.1013869480126976</v>
      </c>
      <c r="U1150" s="1358">
        <v>4.1310000000000002</v>
      </c>
      <c r="V1150" s="1359">
        <f t="shared" si="765"/>
        <v>5.4322650000000001</v>
      </c>
      <c r="W1150" s="1359">
        <f t="shared" si="752"/>
        <v>255.495719745</v>
      </c>
      <c r="X1150" s="1360">
        <f>(ROUND(W1150/(1-$AB$1146),0))</f>
        <v>278</v>
      </c>
      <c r="Y1150" s="1359">
        <f t="shared" si="766"/>
        <v>267.65000000000003</v>
      </c>
      <c r="Z1150" s="1360">
        <f t="shared" si="767"/>
        <v>505</v>
      </c>
      <c r="AA1150" s="1361">
        <f t="shared" si="753"/>
        <v>8.0950648399280567E-2</v>
      </c>
      <c r="AB1150" s="1361">
        <f t="shared" si="754"/>
        <v>4.5411097534093142E-2</v>
      </c>
      <c r="AC1150" s="1362">
        <f t="shared" si="755"/>
        <v>-0.15000934055669723</v>
      </c>
      <c r="AD1150" s="1669">
        <f t="shared" si="756"/>
        <v>-0.16985219663461537</v>
      </c>
      <c r="AE1150" s="261">
        <f t="shared" si="757"/>
        <v>4.837029319839262</v>
      </c>
      <c r="AF1150" s="1359">
        <f>(V1150/(1-$AB$1146))</f>
        <v>5.904635869565217</v>
      </c>
      <c r="AG1150" s="1896">
        <v>10.74</v>
      </c>
      <c r="AH1150" s="1361">
        <f t="shared" si="758"/>
        <v>7.9999999999999918E-2</v>
      </c>
      <c r="AI1150" s="77">
        <f t="shared" si="768"/>
        <v>2.8682547399124941E-2</v>
      </c>
      <c r="AJ1150" s="333">
        <v>236</v>
      </c>
      <c r="AK1150" s="859">
        <f t="shared" si="759"/>
        <v>-233.35716590140206</v>
      </c>
      <c r="AL1150" s="506">
        <f t="shared" si="769"/>
        <v>0.14368292727945439</v>
      </c>
      <c r="AM1150" s="77">
        <f t="shared" si="770"/>
        <v>1.5727671371639543E-3</v>
      </c>
      <c r="AN1150" s="77">
        <f t="shared" si="771"/>
        <v>1.1349205872062606E-2</v>
      </c>
      <c r="AO1150" s="13"/>
      <c r="AP1150" s="13"/>
    </row>
    <row r="1151" spans="1:42" ht="15.75">
      <c r="A1151" s="187"/>
      <c r="B1151" s="699" t="s">
        <v>409</v>
      </c>
      <c r="C1151" s="250">
        <v>32</v>
      </c>
      <c r="D1151" s="251">
        <v>603</v>
      </c>
      <c r="E1151" s="251">
        <v>10</v>
      </c>
      <c r="F1151" s="251">
        <v>20</v>
      </c>
      <c r="G1151" s="328">
        <v>768</v>
      </c>
      <c r="H1151" s="453">
        <f t="shared" si="760"/>
        <v>821.76</v>
      </c>
      <c r="I1151" s="453">
        <f t="shared" si="772"/>
        <v>451.96799999999996</v>
      </c>
      <c r="J1151" s="1045">
        <f t="shared" si="761"/>
        <v>422.4</v>
      </c>
      <c r="K1151" s="1094">
        <v>1046</v>
      </c>
      <c r="L1151" s="322">
        <v>892</v>
      </c>
      <c r="M1151" s="335">
        <f t="shared" si="748"/>
        <v>1.4792703150912105</v>
      </c>
      <c r="N1151" s="1767">
        <f t="shared" si="762"/>
        <v>523</v>
      </c>
      <c r="O1151" s="329">
        <f t="shared" si="749"/>
        <v>0.2381628787878789</v>
      </c>
      <c r="P1151" s="330">
        <f t="shared" si="763"/>
        <v>0.15716156896063449</v>
      </c>
      <c r="Q1151" s="331">
        <v>7.37</v>
      </c>
      <c r="R1151" s="382">
        <f t="shared" si="750"/>
        <v>346.63321000000002</v>
      </c>
      <c r="S1151" s="918">
        <f t="shared" si="751"/>
        <v>0.17937213541666658</v>
      </c>
      <c r="T1151" s="696">
        <f t="shared" si="764"/>
        <v>0.23305807048286595</v>
      </c>
      <c r="U1151" s="261">
        <v>5.5229999999999997</v>
      </c>
      <c r="V1151" s="262">
        <f t="shared" si="765"/>
        <v>7.2627449999999989</v>
      </c>
      <c r="W1151" s="262">
        <f t="shared" si="752"/>
        <v>341.58868558499995</v>
      </c>
      <c r="X1151" s="1360">
        <f>(ROUND(W1151/(1-$AD$1146),0))</f>
        <v>462</v>
      </c>
      <c r="Y1151" s="262">
        <f t="shared" si="766"/>
        <v>445.20000000000005</v>
      </c>
      <c r="Z1151" s="263">
        <f t="shared" si="767"/>
        <v>840</v>
      </c>
      <c r="AA1151" s="264">
        <f t="shared" si="753"/>
        <v>0.26063055068181828</v>
      </c>
      <c r="AB1151" s="264">
        <f t="shared" si="754"/>
        <v>0.2327298167452832</v>
      </c>
      <c r="AC1151" s="768">
        <f t="shared" si="755"/>
        <v>0.17475292003593879</v>
      </c>
      <c r="AD1151" s="266">
        <f t="shared" si="756"/>
        <v>0.31965287287882416</v>
      </c>
      <c r="AE1151" s="261">
        <f t="shared" si="757"/>
        <v>11.119852018795314</v>
      </c>
      <c r="AF1151" s="1359">
        <f>(V1151/(1-$AD$1146))</f>
        <v>9.8145202702702683</v>
      </c>
      <c r="AG1151" s="1869">
        <v>17.850000000000001</v>
      </c>
      <c r="AH1151" s="264">
        <f t="shared" si="758"/>
        <v>0.25999999999999995</v>
      </c>
      <c r="AI1151" s="77">
        <f t="shared" si="768"/>
        <v>7.2921730675741371E-3</v>
      </c>
      <c r="AJ1151" s="333">
        <v>60</v>
      </c>
      <c r="AK1151" s="859">
        <f t="shared" si="759"/>
        <v>79.318358281249971</v>
      </c>
      <c r="AL1151" s="506">
        <f t="shared" si="769"/>
        <v>-4.8837985586720201E-2</v>
      </c>
      <c r="AM1151" s="77">
        <f t="shared" si="770"/>
        <v>3.9985605182134434E-4</v>
      </c>
      <c r="AN1151" s="77">
        <f t="shared" si="771"/>
        <v>-3.8576076037376969E-3</v>
      </c>
      <c r="AO1151" s="13"/>
      <c r="AP1151" s="13"/>
    </row>
    <row r="1152" spans="1:42" ht="15.75">
      <c r="A1152" s="187"/>
      <c r="B1152" s="699" t="s">
        <v>410</v>
      </c>
      <c r="C1152" s="250" t="s">
        <v>411</v>
      </c>
      <c r="D1152" s="251">
        <v>258</v>
      </c>
      <c r="E1152" s="251">
        <v>10</v>
      </c>
      <c r="F1152" s="251">
        <v>80</v>
      </c>
      <c r="G1152" s="328">
        <v>264</v>
      </c>
      <c r="H1152" s="453">
        <f t="shared" si="760"/>
        <v>282.48</v>
      </c>
      <c r="I1152" s="453">
        <f t="shared" si="772"/>
        <v>155.364</v>
      </c>
      <c r="J1152" s="1045">
        <f t="shared" si="761"/>
        <v>145.19999999999999</v>
      </c>
      <c r="K1152" s="1094">
        <v>326</v>
      </c>
      <c r="L1152" s="322">
        <v>258</v>
      </c>
      <c r="M1152" s="323">
        <f t="shared" si="748"/>
        <v>1</v>
      </c>
      <c r="N1152" s="1767">
        <f t="shared" si="762"/>
        <v>163</v>
      </c>
      <c r="O1152" s="329">
        <f t="shared" si="749"/>
        <v>0.12258953168044084</v>
      </c>
      <c r="P1152" s="330">
        <f t="shared" si="763"/>
        <v>4.9149095028449219E-2</v>
      </c>
      <c r="Q1152" s="331">
        <v>3.0372176631496681</v>
      </c>
      <c r="R1152" s="382">
        <f t="shared" si="750"/>
        <v>142.84945835091835</v>
      </c>
      <c r="S1152" s="918">
        <f t="shared" si="751"/>
        <v>1.6188303368330818E-2</v>
      </c>
      <c r="T1152" s="696">
        <f t="shared" si="764"/>
        <v>8.0549816232084973E-2</v>
      </c>
      <c r="U1152" s="261">
        <v>2.2450000000000001</v>
      </c>
      <c r="V1152" s="262">
        <f t="shared" si="765"/>
        <v>2.952175</v>
      </c>
      <c r="W1152" s="262">
        <f t="shared" si="752"/>
        <v>138.849646775</v>
      </c>
      <c r="X1152" s="1360">
        <f>(ROUND(W1152/(1-$Z$1146),0))</f>
        <v>156</v>
      </c>
      <c r="Y1152" s="262">
        <f t="shared" si="766"/>
        <v>150.52000000000001</v>
      </c>
      <c r="Z1152" s="263">
        <f t="shared" si="767"/>
        <v>284</v>
      </c>
      <c r="AA1152" s="264">
        <f t="shared" si="753"/>
        <v>0.10993816169871796</v>
      </c>
      <c r="AB1152" s="264">
        <f t="shared" si="754"/>
        <v>7.7533571784480559E-2</v>
      </c>
      <c r="AC1152" s="768">
        <f t="shared" si="755"/>
        <v>8.2912569758171628E-2</v>
      </c>
      <c r="AD1152" s="266">
        <f t="shared" si="756"/>
        <v>0.11266841273645191</v>
      </c>
      <c r="AE1152" s="261">
        <f t="shared" si="757"/>
        <v>3.4656517764123063</v>
      </c>
      <c r="AF1152" s="1359">
        <f>(V1152/(1-$Z$1146))</f>
        <v>3.3170505617977528</v>
      </c>
      <c r="AG1152" s="1869">
        <v>6.03</v>
      </c>
      <c r="AH1152" s="264">
        <f t="shared" si="758"/>
        <v>0.11</v>
      </c>
      <c r="AI1152" s="77">
        <f t="shared" si="768"/>
        <v>3.0384054448225572E-2</v>
      </c>
      <c r="AJ1152" s="333">
        <v>250</v>
      </c>
      <c r="AK1152" s="859">
        <f t="shared" si="759"/>
        <v>12.291850231679907</v>
      </c>
      <c r="AL1152" s="506">
        <f t="shared" si="769"/>
        <v>-7.5683513559409296E-3</v>
      </c>
      <c r="AM1152" s="77">
        <f t="shared" si="770"/>
        <v>1.6660668825889346E-3</v>
      </c>
      <c r="AN1152" s="77">
        <f t="shared" si="771"/>
        <v>-5.9780782085277096E-4</v>
      </c>
      <c r="AO1152" s="13"/>
      <c r="AP1152" s="13"/>
    </row>
    <row r="1153" spans="1:42" ht="15.75">
      <c r="A1153" s="187"/>
      <c r="B1153" s="699" t="s">
        <v>542</v>
      </c>
      <c r="C1153" s="250" t="s">
        <v>412</v>
      </c>
      <c r="D1153" s="251">
        <v>350</v>
      </c>
      <c r="E1153" s="251">
        <v>5</v>
      </c>
      <c r="F1153" s="251">
        <v>40</v>
      </c>
      <c r="G1153" s="328">
        <v>402</v>
      </c>
      <c r="H1153" s="453">
        <f t="shared" si="760"/>
        <v>430.14000000000004</v>
      </c>
      <c r="I1153" s="453">
        <f t="shared" si="772"/>
        <v>236.57700000000003</v>
      </c>
      <c r="J1153" s="1045">
        <f t="shared" si="761"/>
        <v>221.1</v>
      </c>
      <c r="K1153" s="1094">
        <v>482</v>
      </c>
      <c r="L1153" s="322">
        <v>350</v>
      </c>
      <c r="M1153" s="323">
        <f t="shared" si="748"/>
        <v>1</v>
      </c>
      <c r="N1153" s="1767">
        <f t="shared" si="762"/>
        <v>241</v>
      </c>
      <c r="O1153" s="1631">
        <f t="shared" si="749"/>
        <v>9.0004522840343659E-2</v>
      </c>
      <c r="P1153" s="358">
        <f t="shared" si="763"/>
        <v>1.8695815738638988E-2</v>
      </c>
      <c r="Q1153" s="331">
        <v>4.3100216138328529</v>
      </c>
      <c r="R1153" s="382">
        <f t="shared" si="750"/>
        <v>202.71324656340059</v>
      </c>
      <c r="S1153" s="918">
        <f t="shared" si="751"/>
        <v>8.3160350233375882E-2</v>
      </c>
      <c r="T1153" s="696">
        <f t="shared" si="764"/>
        <v>0.14314051423679999</v>
      </c>
      <c r="U1153" s="261">
        <v>3.206</v>
      </c>
      <c r="V1153" s="262">
        <f t="shared" si="765"/>
        <v>4.2158899999999999</v>
      </c>
      <c r="W1153" s="262">
        <f t="shared" si="752"/>
        <v>198.28595437000001</v>
      </c>
      <c r="X1153" s="1360">
        <f>(ROUND(W1153/(1-$AC$1146),0))</f>
        <v>236</v>
      </c>
      <c r="Y1153" s="262">
        <f t="shared" si="766"/>
        <v>227.37</v>
      </c>
      <c r="Z1153" s="263">
        <f t="shared" si="767"/>
        <v>429</v>
      </c>
      <c r="AA1153" s="264">
        <f t="shared" si="753"/>
        <v>0.15980527809322029</v>
      </c>
      <c r="AB1153" s="264">
        <f t="shared" si="754"/>
        <v>0.12791505312926063</v>
      </c>
      <c r="AC1153" s="768">
        <f t="shared" si="755"/>
        <v>5.9946342965210953E-2</v>
      </c>
      <c r="AD1153" s="266">
        <f t="shared" si="756"/>
        <v>0.14295489985304277</v>
      </c>
      <c r="AE1153" s="261">
        <f t="shared" si="757"/>
        <v>5.1240618289286246</v>
      </c>
      <c r="AF1153" s="1359">
        <f>(V1153/(1-$AC$1146))</f>
        <v>5.0189166666666667</v>
      </c>
      <c r="AG1153" s="1869">
        <v>9.1300000000000008</v>
      </c>
      <c r="AH1153" s="264">
        <f t="shared" si="758"/>
        <v>0.16000000000000003</v>
      </c>
      <c r="AI1153" s="77">
        <f t="shared" si="768"/>
        <v>1.9931939718035974E-2</v>
      </c>
      <c r="AJ1153" s="333">
        <v>164</v>
      </c>
      <c r="AK1153" s="859">
        <f t="shared" si="759"/>
        <v>58.781356734840635</v>
      </c>
      <c r="AL1153" s="506">
        <f t="shared" si="769"/>
        <v>-3.6192920720884661E-2</v>
      </c>
      <c r="AM1153" s="77">
        <f t="shared" si="770"/>
        <v>1.0929398749783411E-3</v>
      </c>
      <c r="AN1153" s="77">
        <f t="shared" si="771"/>
        <v>-2.858801084791765E-3</v>
      </c>
      <c r="AO1153" s="13"/>
      <c r="AP1153" s="13"/>
    </row>
    <row r="1154" spans="1:42" ht="15.75">
      <c r="A1154" s="187"/>
      <c r="B1154" s="699" t="s">
        <v>413</v>
      </c>
      <c r="C1154" s="250" t="s">
        <v>414</v>
      </c>
      <c r="D1154" s="251">
        <v>401</v>
      </c>
      <c r="E1154" s="251">
        <v>5</v>
      </c>
      <c r="F1154" s="251">
        <v>40</v>
      </c>
      <c r="G1154" s="328">
        <v>434</v>
      </c>
      <c r="H1154" s="453">
        <f t="shared" si="760"/>
        <v>464.38000000000005</v>
      </c>
      <c r="I1154" s="453">
        <f t="shared" si="772"/>
        <v>255.40900000000002</v>
      </c>
      <c r="J1154" s="1045">
        <f t="shared" si="761"/>
        <v>238.7</v>
      </c>
      <c r="K1154" s="1094">
        <v>522</v>
      </c>
      <c r="L1154" s="322">
        <v>369</v>
      </c>
      <c r="M1154" s="323">
        <f t="shared" si="748"/>
        <v>0.92019950124688277</v>
      </c>
      <c r="N1154" s="1767">
        <f t="shared" si="762"/>
        <v>261</v>
      </c>
      <c r="O1154" s="1631">
        <f t="shared" si="749"/>
        <v>9.3422706325932081E-2</v>
      </c>
      <c r="P1154" s="358">
        <f t="shared" si="763"/>
        <v>2.1890379743861654E-2</v>
      </c>
      <c r="Q1154" s="331">
        <v>4.8434982332155476</v>
      </c>
      <c r="R1154" s="382">
        <f t="shared" si="750"/>
        <v>227.80425240282685</v>
      </c>
      <c r="S1154" s="918">
        <f t="shared" si="751"/>
        <v>4.5646198563775206E-2</v>
      </c>
      <c r="T1154" s="696">
        <f t="shared" si="764"/>
        <v>0.1080805594053975</v>
      </c>
      <c r="U1154" s="261">
        <v>3.5259999999999998</v>
      </c>
      <c r="V1154" s="262">
        <f t="shared" si="765"/>
        <v>4.6366899999999998</v>
      </c>
      <c r="W1154" s="262">
        <f t="shared" si="752"/>
        <v>218.07744076999998</v>
      </c>
      <c r="X1154" s="1360">
        <f>(ROUND(W1154/(1-$AC$1146),0))</f>
        <v>260</v>
      </c>
      <c r="Y1154" s="262">
        <f t="shared" si="766"/>
        <v>250.69000000000003</v>
      </c>
      <c r="Z1154" s="263">
        <f t="shared" si="767"/>
        <v>473</v>
      </c>
      <c r="AA1154" s="264">
        <f t="shared" si="753"/>
        <v>0.161240612423077</v>
      </c>
      <c r="AB1154" s="264">
        <f t="shared" si="754"/>
        <v>0.13009118524871371</v>
      </c>
      <c r="AC1154" s="768">
        <f t="shared" si="755"/>
        <v>4.1126490885156963E-2</v>
      </c>
      <c r="AD1154" s="266">
        <f t="shared" si="756"/>
        <v>0.12963984367017889</v>
      </c>
      <c r="AE1154" s="261">
        <f t="shared" si="757"/>
        <v>5.5492951757276803</v>
      </c>
      <c r="AF1154" s="1359">
        <f>(V1154/(1-$AC$1146))</f>
        <v>5.5198690476190473</v>
      </c>
      <c r="AG1154" s="1869">
        <v>10.039999999999999</v>
      </c>
      <c r="AH1154" s="264">
        <f t="shared" si="758"/>
        <v>0.16</v>
      </c>
      <c r="AI1154" s="77">
        <f t="shared" si="768"/>
        <v>3.9013125911521632E-2</v>
      </c>
      <c r="AJ1154" s="333">
        <v>321</v>
      </c>
      <c r="AK1154" s="859">
        <f t="shared" si="759"/>
        <v>70.969017553025054</v>
      </c>
      <c r="AL1154" s="506">
        <f t="shared" si="769"/>
        <v>-4.3697120458148123E-2</v>
      </c>
      <c r="AM1154" s="77">
        <f t="shared" si="770"/>
        <v>2.1392298772441921E-3</v>
      </c>
      <c r="AN1154" s="77">
        <f t="shared" si="771"/>
        <v>-3.4515417070484175E-3</v>
      </c>
      <c r="AO1154" s="13"/>
      <c r="AP1154" s="13"/>
    </row>
    <row r="1155" spans="1:42" ht="15.75">
      <c r="A1155" s="271"/>
      <c r="B1155" s="699" t="s">
        <v>415</v>
      </c>
      <c r="C1155" s="250" t="s">
        <v>416</v>
      </c>
      <c r="D1155" s="251">
        <v>480</v>
      </c>
      <c r="E1155" s="251">
        <v>5</v>
      </c>
      <c r="F1155" s="251">
        <v>20</v>
      </c>
      <c r="G1155" s="328">
        <v>572</v>
      </c>
      <c r="H1155" s="453">
        <f t="shared" si="760"/>
        <v>612.04000000000008</v>
      </c>
      <c r="I1155" s="453">
        <f t="shared" si="772"/>
        <v>336.62200000000001</v>
      </c>
      <c r="J1155" s="1045">
        <f t="shared" si="761"/>
        <v>314.59999999999997</v>
      </c>
      <c r="K1155" s="1094">
        <v>816</v>
      </c>
      <c r="L1155" s="322">
        <v>662</v>
      </c>
      <c r="M1155" s="335">
        <f t="shared" si="748"/>
        <v>1.3791666666666667</v>
      </c>
      <c r="N1155" s="1767">
        <f t="shared" si="762"/>
        <v>408</v>
      </c>
      <c r="O1155" s="329">
        <f t="shared" si="749"/>
        <v>0.29688493324856968</v>
      </c>
      <c r="P1155" s="358">
        <f t="shared" si="763"/>
        <v>0.21204199369025201</v>
      </c>
      <c r="Q1155" s="331">
        <v>5.9058904109589045</v>
      </c>
      <c r="R1155" s="382">
        <f t="shared" si="750"/>
        <v>277.77174369863019</v>
      </c>
      <c r="S1155" s="918">
        <f t="shared" si="751"/>
        <v>0.11706375175260579</v>
      </c>
      <c r="T1155" s="696">
        <f t="shared" si="764"/>
        <v>0.17482593621738871</v>
      </c>
      <c r="U1155" s="1358">
        <v>4.3970000000000002</v>
      </c>
      <c r="V1155" s="262">
        <f t="shared" si="765"/>
        <v>5.7820549999999997</v>
      </c>
      <c r="W1155" s="262">
        <f t="shared" si="752"/>
        <v>271.947392815</v>
      </c>
      <c r="X1155" s="1360">
        <f>(ROUND(W1155/(1-$AD$1146),0))</f>
        <v>367</v>
      </c>
      <c r="Y1155" s="262">
        <f t="shared" si="766"/>
        <v>353.51</v>
      </c>
      <c r="Z1155" s="263">
        <f t="shared" si="767"/>
        <v>667</v>
      </c>
      <c r="AA1155" s="264">
        <f t="shared" si="753"/>
        <v>0.25899892965940052</v>
      </c>
      <c r="AB1155" s="264">
        <f t="shared" si="754"/>
        <v>0.23072220640151619</v>
      </c>
      <c r="AC1155" s="768">
        <f t="shared" si="755"/>
        <v>0.15413991117648718</v>
      </c>
      <c r="AD1155" s="266">
        <f t="shared" si="756"/>
        <v>0.30568986720026553</v>
      </c>
      <c r="AE1155" s="261">
        <f t="shared" si="757"/>
        <v>8.6747602747007413</v>
      </c>
      <c r="AF1155" s="1359">
        <f>(V1155/(1-$AD$1146))</f>
        <v>7.8135878378378374</v>
      </c>
      <c r="AG1155" s="1869">
        <v>14.21</v>
      </c>
      <c r="AH1155" s="264">
        <f t="shared" si="758"/>
        <v>0.26</v>
      </c>
      <c r="AI1155" s="77">
        <f t="shared" si="768"/>
        <v>1.8230432668935343E-3</v>
      </c>
      <c r="AJ1155" s="333">
        <v>15</v>
      </c>
      <c r="AK1155" s="859">
        <f t="shared" si="759"/>
        <v>10.370485334198824</v>
      </c>
      <c r="AL1155" s="506">
        <f t="shared" si="769"/>
        <v>-6.3853264774218158E-3</v>
      </c>
      <c r="AM1155" s="77">
        <f t="shared" si="770"/>
        <v>9.9964012955336084E-5</v>
      </c>
      <c r="AN1155" s="77">
        <f t="shared" si="771"/>
        <v>-5.0436322620046555E-4</v>
      </c>
      <c r="AO1155" s="13"/>
      <c r="AP1155" s="13"/>
    </row>
    <row r="1156" spans="1:42" ht="15.75">
      <c r="A1156" s="187"/>
      <c r="B1156" s="250" t="s">
        <v>417</v>
      </c>
      <c r="C1156" s="250" t="s">
        <v>418</v>
      </c>
      <c r="D1156" s="251">
        <v>520</v>
      </c>
      <c r="E1156" s="251">
        <v>5</v>
      </c>
      <c r="F1156" s="251">
        <v>20</v>
      </c>
      <c r="G1156" s="328">
        <v>650</v>
      </c>
      <c r="H1156" s="453">
        <f t="shared" si="760"/>
        <v>695.5</v>
      </c>
      <c r="I1156" s="453">
        <f t="shared" si="772"/>
        <v>382.52499999999998</v>
      </c>
      <c r="J1156" s="1045">
        <f t="shared" si="761"/>
        <v>357.5</v>
      </c>
      <c r="K1156" s="1094">
        <v>883</v>
      </c>
      <c r="L1156" s="322">
        <v>710</v>
      </c>
      <c r="M1156" s="335">
        <f t="shared" si="748"/>
        <v>1.3653846153846154</v>
      </c>
      <c r="N1156" s="1767">
        <f t="shared" si="762"/>
        <v>441.5</v>
      </c>
      <c r="O1156" s="329">
        <f t="shared" si="749"/>
        <v>0.23496503496503496</v>
      </c>
      <c r="P1156" s="358">
        <f t="shared" si="763"/>
        <v>0.15417292987386455</v>
      </c>
      <c r="Q1156" s="331">
        <v>6.333734439834025</v>
      </c>
      <c r="R1156" s="382">
        <f t="shared" si="750"/>
        <v>297.8945319087137</v>
      </c>
      <c r="S1156" s="918">
        <f t="shared" si="751"/>
        <v>0.16672858207352811</v>
      </c>
      <c r="T1156" s="696">
        <f t="shared" si="764"/>
        <v>0.22124166548927857</v>
      </c>
      <c r="U1156" s="1358">
        <v>4.6260000000000003</v>
      </c>
      <c r="V1156" s="262">
        <f t="shared" si="765"/>
        <v>6.0831900000000001</v>
      </c>
      <c r="W1156" s="262">
        <f t="shared" si="752"/>
        <v>286.11067527</v>
      </c>
      <c r="X1156" s="1360">
        <f>(ROUND(W1156/(1-$AD$1146),0))</f>
        <v>387</v>
      </c>
      <c r="Y1156" s="262">
        <f t="shared" si="766"/>
        <v>373.12</v>
      </c>
      <c r="Z1156" s="263">
        <f t="shared" si="767"/>
        <v>704</v>
      </c>
      <c r="AA1156" s="264">
        <f t="shared" si="753"/>
        <v>0.26069592953488374</v>
      </c>
      <c r="AB1156" s="264">
        <f t="shared" si="754"/>
        <v>0.23319394492388509</v>
      </c>
      <c r="AC1156" s="768">
        <f t="shared" si="755"/>
        <v>0.18326543739279577</v>
      </c>
      <c r="AD1156" s="266">
        <f t="shared" si="756"/>
        <v>0.32495593792468852</v>
      </c>
      <c r="AE1156" s="261">
        <f t="shared" si="757"/>
        <v>9.3870261305891614</v>
      </c>
      <c r="AF1156" s="1359">
        <f>(V1156/(1-$AD$1146))</f>
        <v>8.2205270270270265</v>
      </c>
      <c r="AG1156" s="1869">
        <v>14.95</v>
      </c>
      <c r="AH1156" s="264">
        <f t="shared" si="758"/>
        <v>0.25999999999999995</v>
      </c>
      <c r="AI1156" s="77">
        <f t="shared" si="768"/>
        <v>3.0384054448225569E-3</v>
      </c>
      <c r="AJ1156" s="333">
        <v>25</v>
      </c>
      <c r="AK1156" s="859">
        <f t="shared" si="759"/>
        <v>26.40036405959497</v>
      </c>
      <c r="AL1156" s="506">
        <f t="shared" si="769"/>
        <v>-1.625526079164263E-2</v>
      </c>
      <c r="AM1156" s="77">
        <f t="shared" si="770"/>
        <v>1.6660668825889348E-4</v>
      </c>
      <c r="AN1156" s="77">
        <f t="shared" si="771"/>
        <v>-1.2839681423639779E-3</v>
      </c>
      <c r="AO1156" s="13"/>
      <c r="AP1156" s="13"/>
    </row>
    <row r="1157" spans="1:42" ht="15.75">
      <c r="A1157" s="187"/>
      <c r="B1157" s="250" t="s">
        <v>419</v>
      </c>
      <c r="C1157" s="250" t="s">
        <v>420</v>
      </c>
      <c r="D1157" s="251">
        <v>557</v>
      </c>
      <c r="E1157" s="251">
        <v>5</v>
      </c>
      <c r="F1157" s="699">
        <v>20</v>
      </c>
      <c r="G1157" s="328">
        <v>630</v>
      </c>
      <c r="H1157" s="453">
        <f t="shared" si="760"/>
        <v>674.1</v>
      </c>
      <c r="I1157" s="453">
        <f t="shared" si="772"/>
        <v>370.755</v>
      </c>
      <c r="J1157" s="1045">
        <f t="shared" si="761"/>
        <v>346.5</v>
      </c>
      <c r="K1157" s="1094">
        <v>916</v>
      </c>
      <c r="L1157" s="322">
        <v>730</v>
      </c>
      <c r="M1157" s="335">
        <f t="shared" si="748"/>
        <v>1.3105924596050269</v>
      </c>
      <c r="N1157" s="1767">
        <f t="shared" si="762"/>
        <v>458</v>
      </c>
      <c r="O1157" s="329">
        <f t="shared" si="749"/>
        <v>0.32178932178932174</v>
      </c>
      <c r="P1157" s="358">
        <f t="shared" si="763"/>
        <v>0.23531712316759057</v>
      </c>
      <c r="Q1157" s="331">
        <v>6.8612328767123287</v>
      </c>
      <c r="R1157" s="382">
        <f t="shared" si="750"/>
        <v>322.70436589041094</v>
      </c>
      <c r="S1157" s="918">
        <f t="shared" si="751"/>
        <v>6.8674268714542741E-2</v>
      </c>
      <c r="T1157" s="696">
        <f t="shared" si="764"/>
        <v>0.12960212029396517</v>
      </c>
      <c r="U1157" s="1358">
        <v>5.1020000000000003</v>
      </c>
      <c r="V1157" s="262">
        <f t="shared" si="765"/>
        <v>6.70913</v>
      </c>
      <c r="W1157" s="262">
        <f t="shared" si="752"/>
        <v>315.55051129000003</v>
      </c>
      <c r="X1157" s="1360">
        <f>(ROUND(W1157/(1-$AD$1146),0))</f>
        <v>426</v>
      </c>
      <c r="Y1157" s="262">
        <f t="shared" si="766"/>
        <v>410.75</v>
      </c>
      <c r="Z1157" s="263">
        <f t="shared" si="767"/>
        <v>775</v>
      </c>
      <c r="AA1157" s="264">
        <f t="shared" si="753"/>
        <v>0.25927110025821587</v>
      </c>
      <c r="AB1157" s="264">
        <f t="shared" si="754"/>
        <v>0.23176990556299445</v>
      </c>
      <c r="AC1157" s="768">
        <f t="shared" si="755"/>
        <v>0.11503347534996955</v>
      </c>
      <c r="AD1157" s="266">
        <f t="shared" si="756"/>
        <v>0.28231779637463605</v>
      </c>
      <c r="AE1157" s="261">
        <f t="shared" si="757"/>
        <v>9.7378436416983813</v>
      </c>
      <c r="AF1157" s="1359">
        <f>(V1157/(1-$AD$1146))</f>
        <v>9.0663918918918913</v>
      </c>
      <c r="AG1157" s="1869">
        <v>14.48</v>
      </c>
      <c r="AH1157" s="264">
        <f t="shared" si="758"/>
        <v>0.25999999999999995</v>
      </c>
      <c r="AI1157" s="77">
        <f t="shared" si="768"/>
        <v>1.8230432668935343E-3</v>
      </c>
      <c r="AJ1157" s="333">
        <v>15</v>
      </c>
      <c r="AK1157" s="859">
        <f t="shared" si="759"/>
        <v>7.0678522543259632</v>
      </c>
      <c r="AL1157" s="506">
        <f t="shared" si="769"/>
        <v>-4.3518256555675101E-3</v>
      </c>
      <c r="AM1157" s="77">
        <f t="shared" si="770"/>
        <v>9.9964012955336084E-5</v>
      </c>
      <c r="AN1157" s="77">
        <f t="shared" si="771"/>
        <v>-3.4374136314956505E-4</v>
      </c>
      <c r="AO1157" s="13"/>
      <c r="AP1157" s="13"/>
    </row>
    <row r="1158" spans="1:42" ht="15.75">
      <c r="A1158" s="187"/>
      <c r="B1158" s="250" t="s">
        <v>421</v>
      </c>
      <c r="C1158" s="250" t="s">
        <v>422</v>
      </c>
      <c r="D1158" s="251">
        <v>201</v>
      </c>
      <c r="E1158" s="251">
        <v>10</v>
      </c>
      <c r="F1158" s="699">
        <v>50</v>
      </c>
      <c r="G1158" s="328">
        <v>240</v>
      </c>
      <c r="H1158" s="453">
        <f t="shared" si="760"/>
        <v>256.8</v>
      </c>
      <c r="I1158" s="453">
        <f t="shared" si="772"/>
        <v>141.24</v>
      </c>
      <c r="J1158" s="1045">
        <f t="shared" si="761"/>
        <v>132</v>
      </c>
      <c r="K1158" s="1094">
        <v>298</v>
      </c>
      <c r="L1158" s="322">
        <v>201</v>
      </c>
      <c r="M1158" s="323">
        <f t="shared" si="748"/>
        <v>1</v>
      </c>
      <c r="N1158" s="1767">
        <f t="shared" si="762"/>
        <v>149</v>
      </c>
      <c r="O1158" s="329">
        <f t="shared" si="749"/>
        <v>0.1287878787878789</v>
      </c>
      <c r="P1158" s="358">
        <f t="shared" si="763"/>
        <v>5.4941942792410048E-2</v>
      </c>
      <c r="Q1158" s="331">
        <v>2.4621784565916403</v>
      </c>
      <c r="R1158" s="382">
        <f t="shared" si="750"/>
        <v>115.80363934887463</v>
      </c>
      <c r="S1158" s="918">
        <f t="shared" si="751"/>
        <v>0.12269970190246496</v>
      </c>
      <c r="T1158" s="696">
        <f t="shared" si="764"/>
        <v>0.18009317934809815</v>
      </c>
      <c r="U1158" s="1358">
        <v>1.841</v>
      </c>
      <c r="V1158" s="262">
        <f t="shared" si="765"/>
        <v>2.4209149999999999</v>
      </c>
      <c r="W1158" s="262">
        <f t="shared" si="752"/>
        <v>113.86289519499999</v>
      </c>
      <c r="X1158" s="1360">
        <f>(ROUND(W1158/(1-$AC$1146),0))</f>
        <v>136</v>
      </c>
      <c r="Y1158" s="262">
        <f t="shared" si="766"/>
        <v>130.91</v>
      </c>
      <c r="Z1158" s="263">
        <f t="shared" si="767"/>
        <v>247</v>
      </c>
      <c r="AA1158" s="264">
        <f t="shared" si="753"/>
        <v>0.16277282944852947</v>
      </c>
      <c r="AB1158" s="264">
        <f t="shared" si="754"/>
        <v>0.13022003517683908</v>
      </c>
      <c r="AC1158" s="768">
        <f t="shared" si="755"/>
        <v>0.13818654037124745</v>
      </c>
      <c r="AD1158" s="266">
        <f t="shared" si="756"/>
        <v>0.20397864097455257</v>
      </c>
      <c r="AE1158" s="261">
        <f t="shared" si="757"/>
        <v>3.1679884336529671</v>
      </c>
      <c r="AF1158" s="1359">
        <f>(V1158/(1-$AC$1146))</f>
        <v>2.8820416666666668</v>
      </c>
      <c r="AG1158" s="1869">
        <f>AF1158/(1-$X$1108)</f>
        <v>5.2400757575757577</v>
      </c>
      <c r="AH1158" s="264">
        <f t="shared" si="758"/>
        <v>0.16000000000000009</v>
      </c>
      <c r="AI1158" s="77">
        <f t="shared" si="768"/>
        <v>1.1545940690325718E-2</v>
      </c>
      <c r="AJ1158" s="333">
        <v>95</v>
      </c>
      <c r="AK1158" s="859">
        <f t="shared" si="759"/>
        <v>28.700313452174225</v>
      </c>
      <c r="AL1158" s="506">
        <f t="shared" si="769"/>
        <v>-1.7671388126082481E-2</v>
      </c>
      <c r="AM1158" s="77">
        <f t="shared" si="770"/>
        <v>6.3310541538379519E-4</v>
      </c>
      <c r="AN1158" s="77">
        <f t="shared" si="771"/>
        <v>-1.3958249994306092E-3</v>
      </c>
      <c r="AO1158" s="13"/>
      <c r="AP1158" s="13"/>
    </row>
    <row r="1159" spans="1:42" ht="15.75">
      <c r="A1159" s="187"/>
      <c r="B1159" s="699" t="s">
        <v>423</v>
      </c>
      <c r="C1159" s="250" t="s">
        <v>424</v>
      </c>
      <c r="D1159" s="250">
        <v>235</v>
      </c>
      <c r="E1159" s="251">
        <v>10</v>
      </c>
      <c r="F1159" s="250">
        <v>50</v>
      </c>
      <c r="G1159" s="328">
        <v>268</v>
      </c>
      <c r="H1159" s="453">
        <f t="shared" si="760"/>
        <v>286.76</v>
      </c>
      <c r="I1159" s="453">
        <f t="shared" si="772"/>
        <v>157.71799999999999</v>
      </c>
      <c r="J1159" s="1045">
        <f t="shared" si="761"/>
        <v>147.39999999999998</v>
      </c>
      <c r="K1159" s="1094">
        <v>331</v>
      </c>
      <c r="L1159" s="322">
        <v>235</v>
      </c>
      <c r="M1159" s="323">
        <f t="shared" si="748"/>
        <v>1</v>
      </c>
      <c r="N1159" s="1767">
        <f t="shared" si="762"/>
        <v>165.5</v>
      </c>
      <c r="O1159" s="329">
        <f t="shared" si="749"/>
        <v>0.12279511533242893</v>
      </c>
      <c r="P1159" s="358">
        <f t="shared" si="763"/>
        <v>4.9341229282643839E-2</v>
      </c>
      <c r="Q1159" s="331">
        <v>2.5777597402597405</v>
      </c>
      <c r="R1159" s="382">
        <f t="shared" si="750"/>
        <v>121.23977386363637</v>
      </c>
      <c r="S1159" s="918">
        <f t="shared" si="751"/>
        <v>0.17747778925619817</v>
      </c>
      <c r="T1159" s="696">
        <f t="shared" si="764"/>
        <v>0.23128765351046562</v>
      </c>
      <c r="U1159" s="261">
        <v>1.9330000000000001</v>
      </c>
      <c r="V1159" s="262">
        <f t="shared" si="765"/>
        <v>2.5418949999999998</v>
      </c>
      <c r="W1159" s="262">
        <f t="shared" si="752"/>
        <v>119.55294753499999</v>
      </c>
      <c r="X1159" s="1360">
        <f>(ROUND(W1159/(1-$AD$1146),0))</f>
        <v>162</v>
      </c>
      <c r="Y1159" s="262">
        <f t="shared" si="766"/>
        <v>156.35</v>
      </c>
      <c r="Z1159" s="263">
        <f t="shared" si="767"/>
        <v>295</v>
      </c>
      <c r="AA1159" s="264">
        <f t="shared" si="753"/>
        <v>0.26201884237654327</v>
      </c>
      <c r="AB1159" s="264">
        <f t="shared" si="754"/>
        <v>0.23535051144867292</v>
      </c>
      <c r="AC1159" s="768">
        <f t="shared" si="755"/>
        <v>5.8522545570834694E-2</v>
      </c>
      <c r="AD1159" s="266">
        <f t="shared" si="756"/>
        <v>0.2475267652630917</v>
      </c>
      <c r="AE1159" s="261">
        <f t="shared" si="757"/>
        <v>3.518805944762188</v>
      </c>
      <c r="AF1159" s="1359">
        <f>(V1159/(1-$AD$1146))</f>
        <v>3.4349932432432428</v>
      </c>
      <c r="AG1159" s="1869">
        <v>6.25</v>
      </c>
      <c r="AH1159" s="264">
        <f t="shared" si="758"/>
        <v>0.25999999999999995</v>
      </c>
      <c r="AI1159" s="77">
        <f t="shared" si="768"/>
        <v>3.2328633932912007E-2</v>
      </c>
      <c r="AJ1159" s="333">
        <v>266</v>
      </c>
      <c r="AK1159" s="859">
        <f t="shared" si="759"/>
        <v>121.69369658269147</v>
      </c>
      <c r="AL1159" s="506">
        <f t="shared" si="769"/>
        <v>-7.4929374844425078E-2</v>
      </c>
      <c r="AM1159" s="77">
        <f t="shared" si="770"/>
        <v>1.7726951630746264E-3</v>
      </c>
      <c r="AN1159" s="77">
        <f t="shared" si="771"/>
        <v>-5.9185104109159437E-3</v>
      </c>
      <c r="AO1159" s="13"/>
      <c r="AP1159" s="13"/>
    </row>
    <row r="1160" spans="1:42" ht="16.5" thickBot="1">
      <c r="A1160" s="187"/>
      <c r="B1160" s="657" t="s">
        <v>425</v>
      </c>
      <c r="C1160" s="925" t="s">
        <v>426</v>
      </c>
      <c r="D1160" s="925">
        <v>270</v>
      </c>
      <c r="E1160" s="926">
        <v>10</v>
      </c>
      <c r="F1160" s="925">
        <v>50</v>
      </c>
      <c r="G1160" s="433">
        <v>264</v>
      </c>
      <c r="H1160" s="453">
        <f t="shared" si="760"/>
        <v>282.48</v>
      </c>
      <c r="I1160" s="453">
        <f t="shared" si="772"/>
        <v>155.364</v>
      </c>
      <c r="J1160" s="1045">
        <f t="shared" si="761"/>
        <v>145.19999999999999</v>
      </c>
      <c r="K1160" s="1786">
        <v>320</v>
      </c>
      <c r="L1160" s="406">
        <v>270</v>
      </c>
      <c r="M1160" s="1787">
        <f t="shared" si="748"/>
        <v>1</v>
      </c>
      <c r="N1160" s="1768">
        <f t="shared" si="762"/>
        <v>160</v>
      </c>
      <c r="O1160" s="409">
        <f t="shared" si="749"/>
        <v>0.10192837465564741</v>
      </c>
      <c r="P1160" s="935">
        <f t="shared" si="763"/>
        <v>2.9839602481913419E-2</v>
      </c>
      <c r="Q1160" s="1010">
        <v>3.2852220726783306</v>
      </c>
      <c r="R1160" s="496">
        <f t="shared" si="750"/>
        <v>154.51384974427992</v>
      </c>
      <c r="S1160" s="1778">
        <f t="shared" si="751"/>
        <v>-6.4144970690633171E-2</v>
      </c>
      <c r="T1160" s="919">
        <f t="shared" si="764"/>
        <v>5.4719900087541566E-3</v>
      </c>
      <c r="U1160" s="261">
        <v>2.4729999999999999</v>
      </c>
      <c r="V1160" s="262">
        <f t="shared" si="765"/>
        <v>3.2519949999999995</v>
      </c>
      <c r="W1160" s="262">
        <f t="shared" si="752"/>
        <v>152.95108083499997</v>
      </c>
      <c r="X1160" s="1360">
        <f>(ROUND(W1160/(1-$AB$1146),0))</f>
        <v>166</v>
      </c>
      <c r="Y1160" s="262">
        <f t="shared" si="766"/>
        <v>160.06</v>
      </c>
      <c r="Z1160" s="263">
        <f t="shared" si="767"/>
        <v>302</v>
      </c>
      <c r="AA1160" s="264">
        <f t="shared" si="753"/>
        <v>7.8607946777108612E-2</v>
      </c>
      <c r="AB1160" s="264">
        <f t="shared" si="754"/>
        <v>4.4414089497688561E-2</v>
      </c>
      <c r="AC1160" s="768">
        <f t="shared" si="755"/>
        <v>-3.7485942771464664E-4</v>
      </c>
      <c r="AD1160" s="266">
        <f t="shared" si="756"/>
        <v>4.224734147135571E-3</v>
      </c>
      <c r="AE1160" s="261">
        <f t="shared" si="757"/>
        <v>3.4018667743924476</v>
      </c>
      <c r="AF1160" s="1359">
        <f>(V1160/(1-$AB$1146))</f>
        <v>3.5347771739130427</v>
      </c>
      <c r="AG1160" s="1869">
        <v>6.43</v>
      </c>
      <c r="AH1160" s="264">
        <f t="shared" si="758"/>
        <v>7.9999999999999932E-2</v>
      </c>
      <c r="AI1160" s="77">
        <f t="shared" si="768"/>
        <v>6.3198833252309187E-3</v>
      </c>
      <c r="AJ1160" s="333">
        <v>52</v>
      </c>
      <c r="AK1160" s="859">
        <f t="shared" si="759"/>
        <v>-10.95798462533698</v>
      </c>
      <c r="AL1160" s="506">
        <f t="shared" si="769"/>
        <v>6.747062178141635E-3</v>
      </c>
      <c r="AM1160" s="77">
        <f t="shared" si="770"/>
        <v>3.4654191157849841E-4</v>
      </c>
      <c r="AN1160" s="77">
        <f t="shared" si="771"/>
        <v>5.3293595238636292E-4</v>
      </c>
      <c r="AO1160" s="13"/>
      <c r="AP1160" s="13"/>
    </row>
    <row r="1161" spans="1:42" ht="15.75" thickBot="1">
      <c r="A1161" s="149" t="s">
        <v>139</v>
      </c>
      <c r="B1161" s="157"/>
      <c r="C1161" s="157" t="s">
        <v>140</v>
      </c>
      <c r="J1161" s="532"/>
      <c r="K1161" s="1852" t="s">
        <v>1474</v>
      </c>
      <c r="L1161" s="1852"/>
      <c r="M1161" s="1852"/>
      <c r="N1161" s="1788"/>
      <c r="O1161" s="459"/>
      <c r="P1161" s="769"/>
      <c r="Q1161" s="1091"/>
      <c r="R1161" s="1092"/>
      <c r="S1161" s="1092"/>
      <c r="U1161" s="309"/>
      <c r="V1161" s="309"/>
      <c r="W1161" s="309"/>
      <c r="X1161" s="309"/>
      <c r="Y1161" s="309"/>
      <c r="Z1161" s="309"/>
      <c r="AA1161" s="346">
        <v>0.11</v>
      </c>
      <c r="AB1161" s="628"/>
      <c r="AC1161" s="628"/>
      <c r="AD1161" s="585">
        <f>AVERAGE(AD1148:AD1160)</f>
        <v>0.13444726156555786</v>
      </c>
      <c r="AE1161" s="188"/>
      <c r="AF1161" s="188"/>
      <c r="AG1161" s="1866"/>
      <c r="AH1161" s="1851"/>
      <c r="AI1161" s="512">
        <f>S1148*AI1148+S1149*AI1149+S1150*AI1150+S1151*AI1151+S1152*AI1152+S1153*AI1154+S1154*AI1154+S1155*AI1155+S1156*AI1156+S1157*AI1157+S1158*AI1158+S1159*AI1159+S1160*AI1160</f>
        <v>-7.7297521357249419E-2</v>
      </c>
      <c r="AJ1161" s="513">
        <f>SUM(AJ1148:AJ1160)</f>
        <v>8228</v>
      </c>
      <c r="AK1161" s="514">
        <f>SUM(AK1148:AK1160)</f>
        <v>-1624.111996601634</v>
      </c>
      <c r="AM1161" s="307">
        <f>SUM(AM1148:AM1160)</f>
        <v>5.4833593239767026E-2</v>
      </c>
      <c r="AN1161" s="307">
        <f>SUM(AN1148:AN1160)</f>
        <v>7.8987852537198797E-2</v>
      </c>
      <c r="AO1161" s="13"/>
      <c r="AP1161" s="13"/>
    </row>
    <row r="1162" spans="1:42" ht="60.75" thickBot="1">
      <c r="A1162" s="187"/>
      <c r="B1162" s="189" t="s">
        <v>10</v>
      </c>
      <c r="C1162" s="190" t="s">
        <v>11</v>
      </c>
      <c r="D1162" s="190" t="s">
        <v>12</v>
      </c>
      <c r="E1162" s="190" t="s">
        <v>13</v>
      </c>
      <c r="F1162" s="190" t="s">
        <v>14</v>
      </c>
      <c r="G1162" s="191" t="s">
        <v>15</v>
      </c>
      <c r="H1162" s="347" t="s">
        <v>1090</v>
      </c>
      <c r="I1162" s="347">
        <f>$C$21</f>
        <v>0.45</v>
      </c>
      <c r="J1162" s="194">
        <f>$C$21</f>
        <v>0.45</v>
      </c>
      <c r="K1162" s="601" t="s">
        <v>15</v>
      </c>
      <c r="L1162" s="315" t="s">
        <v>12</v>
      </c>
      <c r="M1162" s="316" t="s">
        <v>1091</v>
      </c>
      <c r="N1162" s="605" t="s">
        <v>993</v>
      </c>
      <c r="O1162" s="317" t="s">
        <v>1092</v>
      </c>
      <c r="P1162" s="602" t="s">
        <v>1092</v>
      </c>
      <c r="Q1162" s="875" t="s">
        <v>1093</v>
      </c>
      <c r="R1162" s="876" t="s">
        <v>1094</v>
      </c>
      <c r="S1162" s="1126" t="s">
        <v>1095</v>
      </c>
      <c r="T1162" s="1117" t="s">
        <v>1095</v>
      </c>
      <c r="U1162" s="204" t="s">
        <v>1096</v>
      </c>
      <c r="V1162" s="205" t="s">
        <v>1093</v>
      </c>
      <c r="W1162" s="206" t="s">
        <v>1094</v>
      </c>
      <c r="X1162" s="207" t="s">
        <v>1097</v>
      </c>
      <c r="Y1162" s="208">
        <f>$X$1109</f>
        <v>0.47</v>
      </c>
      <c r="Z1162" s="207" t="s">
        <v>1098</v>
      </c>
      <c r="AA1162" s="209" t="s">
        <v>1099</v>
      </c>
      <c r="AB1162" s="209" t="s">
        <v>1100</v>
      </c>
      <c r="AC1162" s="210" t="s">
        <v>1092</v>
      </c>
      <c r="AD1162" s="211" t="s">
        <v>1101</v>
      </c>
      <c r="AE1162" s="212" t="s">
        <v>1102</v>
      </c>
      <c r="AF1162" s="208" t="s">
        <v>1103</v>
      </c>
      <c r="AG1162" s="1867" t="s">
        <v>1104</v>
      </c>
      <c r="AH1162" s="213" t="s">
        <v>1105</v>
      </c>
      <c r="AI1162" s="220" t="s">
        <v>1106</v>
      </c>
      <c r="AJ1162" s="483" t="s">
        <v>1107</v>
      </c>
      <c r="AK1162" s="484" t="s">
        <v>1108</v>
      </c>
      <c r="AL1162" s="221" t="s">
        <v>1109</v>
      </c>
      <c r="AM1162" s="221" t="s">
        <v>1175</v>
      </c>
      <c r="AN1162" s="221" t="s">
        <v>1176</v>
      </c>
      <c r="AO1162" s="13"/>
      <c r="AP1162" s="13"/>
    </row>
    <row r="1163" spans="1:42" ht="15.75">
      <c r="A1163" s="187"/>
      <c r="B1163" s="1789" t="s">
        <v>427</v>
      </c>
      <c r="C1163" s="1504" t="s">
        <v>376</v>
      </c>
      <c r="D1163" s="1505">
        <v>141</v>
      </c>
      <c r="E1163" s="1505">
        <v>10</v>
      </c>
      <c r="F1163" s="1505">
        <v>100</v>
      </c>
      <c r="G1163" s="425">
        <v>144</v>
      </c>
      <c r="H1163" s="397">
        <f>G1163*(1+$H$33)</f>
        <v>154.08000000000001</v>
      </c>
      <c r="I1163" s="397">
        <f t="shared" ref="I1163:I1169" si="773">H1163-H1163*$J$1114</f>
        <v>84.744</v>
      </c>
      <c r="J1163" s="1528">
        <f>G1163-G1163*$J$1114</f>
        <v>79.2</v>
      </c>
      <c r="K1163" s="1725">
        <v>165</v>
      </c>
      <c r="L1163" s="1508">
        <v>141</v>
      </c>
      <c r="M1163" s="1790">
        <f>L1163/D1163*100%</f>
        <v>1</v>
      </c>
      <c r="N1163" s="1791">
        <f>K1163-(K1163*$O$33)</f>
        <v>82.5</v>
      </c>
      <c r="O1163" s="1638">
        <f>((N1163/J1163)-1)*100%</f>
        <v>4.1666666666666519E-2</v>
      </c>
      <c r="P1163" s="1792">
        <f>((N1163/I1163)-1)*100%</f>
        <v>-2.6479750778816147E-2</v>
      </c>
      <c r="Q1163" s="1793">
        <v>1.7878446601941749</v>
      </c>
      <c r="R1163" s="561">
        <f t="shared" ref="R1163:R1169" si="774">Q1163*$R$33</f>
        <v>84.087697902912623</v>
      </c>
      <c r="S1163" s="562">
        <f t="shared" ref="S1163:S1169" si="775">((J1163-R1163)/J1163)*100%</f>
        <v>-6.1713357360007833E-2</v>
      </c>
      <c r="T1163" s="1785">
        <f>((I1163-R1163)/I1163)*100%</f>
        <v>7.7445258317683438E-3</v>
      </c>
      <c r="U1163" s="1358">
        <v>1.3280000000000001</v>
      </c>
      <c r="V1163" s="1359">
        <f>U1163*$U$1108</f>
        <v>1.7463200000000001</v>
      </c>
      <c r="W1163" s="1359">
        <f t="shared" ref="W1163:W1169" si="776">V1163*$R$33</f>
        <v>82.134668560000009</v>
      </c>
      <c r="X1163" s="1360">
        <f>(ROUND(W1163/(1-$AA$1161),0))</f>
        <v>92</v>
      </c>
      <c r="Y1163" s="1359">
        <f>Z1163*(1-$X$1109)</f>
        <v>88.51</v>
      </c>
      <c r="Z1163" s="1360">
        <f t="shared" ref="Z1163:Z1169" si="777">ROUND(X1163/(1-$X$1108),0)</f>
        <v>167</v>
      </c>
      <c r="AA1163" s="1361">
        <f t="shared" ref="AA1163:AA1169" si="778">((X1163-W1163)/X1163)*100%</f>
        <v>0.10723186347826077</v>
      </c>
      <c r="AB1163" s="1361">
        <f t="shared" ref="AB1163:AB1169" si="779">((Y1163-W1163)/Y1163)*100%</f>
        <v>7.2029504462772523E-2</v>
      </c>
      <c r="AC1163" s="1362">
        <f>((N1163/Y1163)-1)*100%</f>
        <v>-6.7901931985086539E-2</v>
      </c>
      <c r="AD1163" s="1669">
        <f>((N1163*0.96-W1163)/(N1163*0.96))*100%</f>
        <v>-3.7053895959596031E-2</v>
      </c>
      <c r="AE1163" s="261">
        <f t="shared" ref="AE1163:AE1169" si="780">N1163/$R$33</f>
        <v>1.754087555546106</v>
      </c>
      <c r="AF1163" s="1359">
        <f>(V1163/(1-$AA$1161))</f>
        <v>1.9621573033707866</v>
      </c>
      <c r="AG1163" s="1896">
        <v>3.57</v>
      </c>
      <c r="AH1163" s="1361">
        <f t="shared" ref="AH1163:AH1169" si="781">((AF1163-V1163)/AF1163)*100%</f>
        <v>0.11000000000000001</v>
      </c>
      <c r="AI1163" s="92">
        <f>AJ1163/$AJ$1170</f>
        <v>0.47168970129291127</v>
      </c>
      <c r="AJ1163" s="338">
        <f>[1]Статистика!D450</f>
        <v>1058</v>
      </c>
      <c r="AK1163" s="297">
        <f t="shared" ref="AK1163:AK1169" si="782">Q1163*S1163*AJ1163</f>
        <v>-116.73326241103209</v>
      </c>
      <c r="AL1163" s="866">
        <f>AK1163/$AK$1170</f>
        <v>0.26183679988076897</v>
      </c>
      <c r="AM1163" s="92">
        <f>AJ1163/$AJ$1226</f>
        <v>7.050795047116371E-3</v>
      </c>
      <c r="AN1163" s="92">
        <f>AK1163/$AK$1226</f>
        <v>5.6772622434919217E-3</v>
      </c>
      <c r="AO1163" s="13"/>
      <c r="AP1163" s="13"/>
    </row>
    <row r="1164" spans="1:42" ht="15.75">
      <c r="A1164" s="271"/>
      <c r="B1164" s="249" t="s">
        <v>428</v>
      </c>
      <c r="C1164" s="250" t="s">
        <v>378</v>
      </c>
      <c r="D1164" s="251">
        <v>160</v>
      </c>
      <c r="E1164" s="251">
        <v>10</v>
      </c>
      <c r="F1164" s="251">
        <v>80</v>
      </c>
      <c r="G1164" s="433">
        <v>184</v>
      </c>
      <c r="H1164" s="357">
        <f t="shared" ref="H1164:H1169" si="783">G1164*(1+$H$33)</f>
        <v>196.88000000000002</v>
      </c>
      <c r="I1164" s="357">
        <f t="shared" si="773"/>
        <v>108.28400000000001</v>
      </c>
      <c r="J1164" s="884">
        <f t="shared" ref="J1164:J1169" si="784">G1164-G1164*$J$1114</f>
        <v>101.2</v>
      </c>
      <c r="K1164" s="1794"/>
      <c r="L1164" s="1230"/>
      <c r="M1164" s="1795"/>
      <c r="N1164" s="1767"/>
      <c r="O1164" s="1796"/>
      <c r="P1164" s="464"/>
      <c r="Q1164" s="331">
        <v>2.0683478260869568</v>
      </c>
      <c r="R1164" s="382">
        <f t="shared" si="774"/>
        <v>97.280603304347835</v>
      </c>
      <c r="S1164" s="383">
        <f t="shared" si="775"/>
        <v>3.8729216360199284E-2</v>
      </c>
      <c r="T1164" s="964">
        <f t="shared" ref="T1164:T1169" si="785">((I1164-R1164)/I1164)*100%</f>
        <v>0.10161609005626104</v>
      </c>
      <c r="U1164" s="1358">
        <v>1.5660000000000001</v>
      </c>
      <c r="V1164" s="1359">
        <f t="shared" ref="V1164:V1169" si="786">U1164*$U$1108</f>
        <v>2.0592899999999998</v>
      </c>
      <c r="W1164" s="1359">
        <f t="shared" si="776"/>
        <v>96.854586569999995</v>
      </c>
      <c r="X1164" s="1360">
        <f t="shared" ref="X1164:X1169" si="787">(ROUND(W1164/(1-$AA$1161),0))</f>
        <v>109</v>
      </c>
      <c r="Y1164" s="1359">
        <f t="shared" ref="Y1164:Y1169" si="788">Z1164*(1-$X$1109)</f>
        <v>104.94000000000001</v>
      </c>
      <c r="Z1164" s="1360">
        <f t="shared" si="777"/>
        <v>198</v>
      </c>
      <c r="AA1164" s="1361">
        <f t="shared" si="778"/>
        <v>0.11142581128440371</v>
      </c>
      <c r="AB1164" s="1361">
        <f t="shared" si="779"/>
        <v>7.7047964837049898E-2</v>
      </c>
      <c r="AC1164" s="1362"/>
      <c r="AD1164" s="1669"/>
      <c r="AE1164" s="261">
        <f t="shared" si="780"/>
        <v>0</v>
      </c>
      <c r="AF1164" s="1359">
        <f t="shared" ref="AF1164:AF1169" si="789">(V1164/(1-$AA$1161))</f>
        <v>2.3138089887640447</v>
      </c>
      <c r="AG1164" s="1896">
        <v>4.21</v>
      </c>
      <c r="AH1164" s="1361">
        <f t="shared" si="781"/>
        <v>0.10999999999999999</v>
      </c>
      <c r="AI1164" s="77">
        <f t="shared" ref="AI1164:AI1169" si="790">AJ1164/$AJ$1170</f>
        <v>0.11502452073116362</v>
      </c>
      <c r="AJ1164" s="333">
        <f>[1]Статистика!D451</f>
        <v>258</v>
      </c>
      <c r="AK1164" s="270">
        <f t="shared" si="782"/>
        <v>20.667216539884755</v>
      </c>
      <c r="AL1164" s="506">
        <f t="shared" ref="AL1164:AL1169" si="791">AK1164/$AK$1170</f>
        <v>-4.6357291225117905E-2</v>
      </c>
      <c r="AM1164" s="77">
        <f t="shared" ref="AM1164:AM1169" si="792">AJ1164/$AJ$1226</f>
        <v>1.7193810228317806E-3</v>
      </c>
      <c r="AN1164" s="77">
        <f t="shared" ref="AN1164:AN1169" si="793">AK1164/$AK$1226</f>
        <v>-1.0051394582532517E-3</v>
      </c>
      <c r="AO1164" s="13"/>
      <c r="AP1164" s="13"/>
    </row>
    <row r="1165" spans="1:42" ht="15.75">
      <c r="A1165" s="187"/>
      <c r="B1165" s="1513" t="s">
        <v>429</v>
      </c>
      <c r="C1165" s="925" t="s">
        <v>380</v>
      </c>
      <c r="D1165" s="926">
        <v>243</v>
      </c>
      <c r="E1165" s="926">
        <v>10</v>
      </c>
      <c r="F1165" s="926">
        <v>60</v>
      </c>
      <c r="G1165" s="433">
        <v>228</v>
      </c>
      <c r="H1165" s="357">
        <f t="shared" si="783"/>
        <v>243.96</v>
      </c>
      <c r="I1165" s="357">
        <f t="shared" si="773"/>
        <v>134.178</v>
      </c>
      <c r="J1165" s="927">
        <f t="shared" si="784"/>
        <v>125.39999999999999</v>
      </c>
      <c r="K1165" s="928">
        <v>285</v>
      </c>
      <c r="L1165" s="929">
        <v>243</v>
      </c>
      <c r="M1165" s="1516">
        <f>L1165/D1165*100%</f>
        <v>1</v>
      </c>
      <c r="N1165" s="1768">
        <f>K1165-(K1165*$O$33)</f>
        <v>142.5</v>
      </c>
      <c r="O1165" s="932">
        <f>((N1165/J1165)-1)*100%</f>
        <v>0.13636363636363646</v>
      </c>
      <c r="P1165" s="330">
        <f>((N1165/I1165)-1)*100%</f>
        <v>6.2022090059473234E-2</v>
      </c>
      <c r="Q1165" s="1012">
        <v>2.8775147928994085</v>
      </c>
      <c r="R1165" s="496">
        <f t="shared" si="774"/>
        <v>135.33815325443788</v>
      </c>
      <c r="S1165" s="559">
        <f t="shared" si="775"/>
        <v>-7.9251620848787036E-2</v>
      </c>
      <c r="T1165" s="964">
        <f t="shared" si="785"/>
        <v>-8.6463746250345589E-3</v>
      </c>
      <c r="U1165" s="1358">
        <v>2.1339999999999999</v>
      </c>
      <c r="V1165" s="1359">
        <f t="shared" si="786"/>
        <v>2.8062099999999996</v>
      </c>
      <c r="W1165" s="1359">
        <f t="shared" si="776"/>
        <v>131.98447492999998</v>
      </c>
      <c r="X1165" s="1360">
        <f t="shared" si="787"/>
        <v>148</v>
      </c>
      <c r="Y1165" s="1359">
        <f t="shared" si="788"/>
        <v>142.57</v>
      </c>
      <c r="Z1165" s="1360">
        <f t="shared" si="777"/>
        <v>269</v>
      </c>
      <c r="AA1165" s="1361">
        <f t="shared" si="778"/>
        <v>0.10821300722972989</v>
      </c>
      <c r="AB1165" s="1361">
        <f t="shared" si="779"/>
        <v>7.4247913796731554E-2</v>
      </c>
      <c r="AC1165" s="1673">
        <f>((N1165/Y1165)-1)*100%</f>
        <v>-4.9098688363602427E-4</v>
      </c>
      <c r="AD1165" s="1669">
        <f>((N1165*0.96-W1165)/(N1165*0.96))*100%</f>
        <v>3.5201206652046839E-2</v>
      </c>
      <c r="AE1165" s="261">
        <f t="shared" si="780"/>
        <v>3.0297875959432736</v>
      </c>
      <c r="AF1165" s="1359">
        <f t="shared" si="789"/>
        <v>3.1530449438202242</v>
      </c>
      <c r="AG1165" s="1896">
        <v>5.73</v>
      </c>
      <c r="AH1165" s="1361">
        <f t="shared" si="781"/>
        <v>0.10999999999999996</v>
      </c>
      <c r="AI1165" s="77">
        <f t="shared" si="790"/>
        <v>0.16540347748551049</v>
      </c>
      <c r="AJ1165" s="333">
        <f>[1]Статистика!D452</f>
        <v>371</v>
      </c>
      <c r="AK1165" s="270">
        <f t="shared" si="782"/>
        <v>-84.60570091220039</v>
      </c>
      <c r="AL1165" s="506">
        <f t="shared" si="791"/>
        <v>0.18977355314988958</v>
      </c>
      <c r="AM1165" s="77">
        <f t="shared" si="792"/>
        <v>2.4724432537619788E-3</v>
      </c>
      <c r="AN1165" s="77">
        <f t="shared" si="793"/>
        <v>4.1147547961240816E-3</v>
      </c>
      <c r="AO1165" s="13"/>
      <c r="AP1165" s="13"/>
    </row>
    <row r="1166" spans="1:42" ht="15.75">
      <c r="A1166" s="187"/>
      <c r="B1166" s="1513" t="s">
        <v>430</v>
      </c>
      <c r="C1166" s="925" t="s">
        <v>382</v>
      </c>
      <c r="D1166" s="926">
        <v>264</v>
      </c>
      <c r="E1166" s="926">
        <v>10</v>
      </c>
      <c r="F1166" s="926">
        <v>50</v>
      </c>
      <c r="G1166" s="433">
        <v>240</v>
      </c>
      <c r="H1166" s="357">
        <f t="shared" si="783"/>
        <v>256.8</v>
      </c>
      <c r="I1166" s="357">
        <f t="shared" si="773"/>
        <v>141.24</v>
      </c>
      <c r="J1166" s="927">
        <f t="shared" si="784"/>
        <v>132</v>
      </c>
      <c r="K1166" s="928">
        <v>307</v>
      </c>
      <c r="L1166" s="929">
        <v>264</v>
      </c>
      <c r="M1166" s="1516">
        <f>L1166/D1166*100%</f>
        <v>1</v>
      </c>
      <c r="N1166" s="1768">
        <f>K1166-(K1166*$O$33)</f>
        <v>153.5</v>
      </c>
      <c r="O1166" s="932">
        <f>((N1166/J1166)-1)*100%</f>
        <v>0.16287878787878785</v>
      </c>
      <c r="P1166" s="330">
        <f>((N1166/I1166)-1)*100%</f>
        <v>8.6802605494194163E-2</v>
      </c>
      <c r="Q1166" s="1010">
        <v>3.1102777777777777</v>
      </c>
      <c r="R1166" s="496">
        <f t="shared" si="774"/>
        <v>146.28569472222222</v>
      </c>
      <c r="S1166" s="559">
        <f t="shared" si="775"/>
        <v>-0.10822496001683499</v>
      </c>
      <c r="T1166" s="696">
        <f t="shared" si="785"/>
        <v>-3.5724261697976552E-2</v>
      </c>
      <c r="U1166" s="261">
        <v>2.29</v>
      </c>
      <c r="V1166" s="1359">
        <f t="shared" si="786"/>
        <v>3.0113499999999997</v>
      </c>
      <c r="W1166" s="1359">
        <f t="shared" si="776"/>
        <v>141.63282454999998</v>
      </c>
      <c r="X1166" s="1360">
        <f t="shared" si="787"/>
        <v>159</v>
      </c>
      <c r="Y1166" s="1359">
        <f t="shared" si="788"/>
        <v>153.17000000000002</v>
      </c>
      <c r="Z1166" s="1360">
        <f t="shared" si="777"/>
        <v>289</v>
      </c>
      <c r="AA1166" s="1361">
        <f t="shared" si="778"/>
        <v>0.10922751855345923</v>
      </c>
      <c r="AB1166" s="1361">
        <f t="shared" si="779"/>
        <v>7.532268361950796E-2</v>
      </c>
      <c r="AC1166" s="1673">
        <f>((N1166/Y1166)-1)*100%</f>
        <v>2.1544688907748633E-3</v>
      </c>
      <c r="AD1166" s="1669">
        <f>((N1166*0.96-W1166)/(N1166*0.96))*100%</f>
        <v>3.8865197136264962E-2</v>
      </c>
      <c r="AE1166" s="261">
        <f t="shared" si="780"/>
        <v>3.2636659366827545</v>
      </c>
      <c r="AF1166" s="1359">
        <f t="shared" si="789"/>
        <v>3.3835393258426962</v>
      </c>
      <c r="AG1166" s="1896">
        <v>6.15</v>
      </c>
      <c r="AH1166" s="1361">
        <f t="shared" si="781"/>
        <v>0.10999999999999997</v>
      </c>
      <c r="AI1166" s="77">
        <f t="shared" si="790"/>
        <v>0.12082032991529201</v>
      </c>
      <c r="AJ1166" s="333">
        <f>[1]Статистика!D453</f>
        <v>271</v>
      </c>
      <c r="AK1166" s="270">
        <f t="shared" si="782"/>
        <v>-91.221225486278854</v>
      </c>
      <c r="AL1166" s="506">
        <f t="shared" si="791"/>
        <v>0.20461240668856692</v>
      </c>
      <c r="AM1166" s="77">
        <f t="shared" si="792"/>
        <v>1.8060165007264051E-3</v>
      </c>
      <c r="AN1166" s="77">
        <f t="shared" si="793"/>
        <v>4.4364974349365063E-3</v>
      </c>
      <c r="AO1166" s="13"/>
      <c r="AP1166" s="13"/>
    </row>
    <row r="1167" spans="1:42" ht="15.75">
      <c r="A1167" s="187"/>
      <c r="B1167" s="1513" t="s">
        <v>431</v>
      </c>
      <c r="C1167" s="925" t="s">
        <v>384</v>
      </c>
      <c r="D1167" s="926">
        <v>368</v>
      </c>
      <c r="E1167" s="926">
        <v>10</v>
      </c>
      <c r="F1167" s="926">
        <v>30</v>
      </c>
      <c r="G1167" s="433">
        <v>330</v>
      </c>
      <c r="H1167" s="357">
        <f t="shared" si="783"/>
        <v>353.1</v>
      </c>
      <c r="I1167" s="357">
        <f t="shared" si="773"/>
        <v>194.20500000000001</v>
      </c>
      <c r="J1167" s="927">
        <f t="shared" si="784"/>
        <v>181.5</v>
      </c>
      <c r="K1167" s="928">
        <v>398</v>
      </c>
      <c r="L1167" s="929">
        <v>324</v>
      </c>
      <c r="M1167" s="1516">
        <f>L1167/D1167*100%</f>
        <v>0.88043478260869568</v>
      </c>
      <c r="N1167" s="1768">
        <f>K1167-(K1167*$O$33)</f>
        <v>199</v>
      </c>
      <c r="O1167" s="932">
        <f>((N1167/J1167)-1)*100%</f>
        <v>9.6418732782369121E-2</v>
      </c>
      <c r="P1167" s="330">
        <f>((N1167/I1167)-1)*100%</f>
        <v>2.4690404469503768E-2</v>
      </c>
      <c r="Q1167" s="1010">
        <v>4.4075342465753424</v>
      </c>
      <c r="R1167" s="496">
        <f t="shared" si="774"/>
        <v>207.2995582191781</v>
      </c>
      <c r="S1167" s="559">
        <f t="shared" si="775"/>
        <v>-0.14214632627646334</v>
      </c>
      <c r="T1167" s="696">
        <f t="shared" si="785"/>
        <v>-6.7426473155573138E-2</v>
      </c>
      <c r="U1167" s="261">
        <v>3.206</v>
      </c>
      <c r="V1167" s="1359">
        <f t="shared" si="786"/>
        <v>4.2158899999999999</v>
      </c>
      <c r="W1167" s="1359">
        <f t="shared" si="776"/>
        <v>198.28595437000001</v>
      </c>
      <c r="X1167" s="1360">
        <f t="shared" si="787"/>
        <v>223</v>
      </c>
      <c r="Y1167" s="1359">
        <f t="shared" si="788"/>
        <v>214.65</v>
      </c>
      <c r="Z1167" s="1360">
        <f t="shared" si="777"/>
        <v>405</v>
      </c>
      <c r="AA1167" s="1361">
        <f t="shared" si="778"/>
        <v>0.11082531672645735</v>
      </c>
      <c r="AB1167" s="1361">
        <f t="shared" si="779"/>
        <v>7.6235945166550162E-2</v>
      </c>
      <c r="AC1167" s="1362">
        <f>((N1167/Y1167)-1)*100%</f>
        <v>-7.2909387374796242E-2</v>
      </c>
      <c r="AD1167" s="1669">
        <f>((N1167*0.96-W1167)/(N1167*0.96))*100%</f>
        <v>-3.7928990630234617E-2</v>
      </c>
      <c r="AE1167" s="261">
        <f t="shared" si="780"/>
        <v>4.2310718006506072</v>
      </c>
      <c r="AF1167" s="1359">
        <f t="shared" si="789"/>
        <v>4.7369550561797755</v>
      </c>
      <c r="AG1167" s="1896">
        <v>8.61</v>
      </c>
      <c r="AH1167" s="1361">
        <f t="shared" si="781"/>
        <v>0.11000000000000007</v>
      </c>
      <c r="AI1167" s="77">
        <f t="shared" si="790"/>
        <v>6.6428889879625502E-2</v>
      </c>
      <c r="AJ1167" s="333">
        <v>149</v>
      </c>
      <c r="AK1167" s="270">
        <f t="shared" si="782"/>
        <v>-93.350705362169307</v>
      </c>
      <c r="AL1167" s="506">
        <f t="shared" si="791"/>
        <v>0.2093889047029063</v>
      </c>
      <c r="AM1167" s="77">
        <f t="shared" si="792"/>
        <v>9.9297586202300495E-4</v>
      </c>
      <c r="AN1167" s="77">
        <f t="shared" si="793"/>
        <v>4.5400635946408387E-3</v>
      </c>
      <c r="AO1167" s="13"/>
      <c r="AP1167" s="13"/>
    </row>
    <row r="1168" spans="1:42" ht="15.75">
      <c r="A1168" s="187"/>
      <c r="B1168" s="1513" t="s">
        <v>432</v>
      </c>
      <c r="C1168" s="925" t="s">
        <v>386</v>
      </c>
      <c r="D1168" s="926">
        <v>412</v>
      </c>
      <c r="E1168" s="926">
        <v>10</v>
      </c>
      <c r="F1168" s="926">
        <v>25</v>
      </c>
      <c r="G1168" s="433">
        <v>370</v>
      </c>
      <c r="H1168" s="357">
        <f t="shared" si="783"/>
        <v>395.90000000000003</v>
      </c>
      <c r="I1168" s="357">
        <f t="shared" si="773"/>
        <v>217.745</v>
      </c>
      <c r="J1168" s="927">
        <f t="shared" si="784"/>
        <v>203.5</v>
      </c>
      <c r="K1168" s="928">
        <v>435</v>
      </c>
      <c r="L1168" s="929">
        <v>371</v>
      </c>
      <c r="M1168" s="1516">
        <f>L1168/D1168*100%</f>
        <v>0.90048543689320393</v>
      </c>
      <c r="N1168" s="1768">
        <f>K1168-(K1168*$O$33)</f>
        <v>217.5</v>
      </c>
      <c r="O1168" s="932">
        <f>((N1168/J1168)-1)*100%</f>
        <v>6.8796068796068699E-2</v>
      </c>
      <c r="P1168" s="330">
        <f>((N1168/I1168)-1)*100%</f>
        <v>-1.1251693494684911E-3</v>
      </c>
      <c r="Q1168" s="1010">
        <v>4.8612758996728465</v>
      </c>
      <c r="R1168" s="496">
        <f t="shared" si="774"/>
        <v>228.64038938931299</v>
      </c>
      <c r="S1168" s="559">
        <f t="shared" si="775"/>
        <v>-0.12353999699908101</v>
      </c>
      <c r="T1168" s="696">
        <f t="shared" si="785"/>
        <v>-5.0037380372972888E-2</v>
      </c>
      <c r="U1168" s="261">
        <v>3.6640000000000001</v>
      </c>
      <c r="V1168" s="1359">
        <f t="shared" si="786"/>
        <v>4.8181599999999998</v>
      </c>
      <c r="W1168" s="1359">
        <f t="shared" si="776"/>
        <v>226.61251927999999</v>
      </c>
      <c r="X1168" s="1360">
        <f t="shared" si="787"/>
        <v>255</v>
      </c>
      <c r="Y1168" s="1359">
        <f t="shared" si="788"/>
        <v>245.92000000000002</v>
      </c>
      <c r="Z1168" s="1360">
        <f t="shared" si="777"/>
        <v>464</v>
      </c>
      <c r="AA1168" s="1361">
        <f t="shared" si="778"/>
        <v>0.11132345380392163</v>
      </c>
      <c r="AB1168" s="1361">
        <f t="shared" si="779"/>
        <v>7.8511226089785405E-2</v>
      </c>
      <c r="AC1168" s="1362">
        <f>((N1168/Y1168)-1)*100%</f>
        <v>-0.11556603773584906</v>
      </c>
      <c r="AD1168" s="1669">
        <f>((N1168*0.96-W1168)/(N1168*0.96))*100%</f>
        <v>-8.5309000383141792E-2</v>
      </c>
      <c r="AE1168" s="261">
        <f t="shared" si="780"/>
        <v>4.6244126464397333</v>
      </c>
      <c r="AF1168" s="1359">
        <f t="shared" si="789"/>
        <v>5.4136629213483145</v>
      </c>
      <c r="AG1168" s="1896">
        <v>9.84</v>
      </c>
      <c r="AH1168" s="1361">
        <f t="shared" si="781"/>
        <v>0.11000000000000003</v>
      </c>
      <c r="AI1168" s="77">
        <f t="shared" si="790"/>
        <v>4.0570664288898793E-2</v>
      </c>
      <c r="AJ1168" s="333">
        <v>91</v>
      </c>
      <c r="AK1168" s="270">
        <f t="shared" si="782"/>
        <v>-54.651142915213235</v>
      </c>
      <c r="AL1168" s="506">
        <f t="shared" si="791"/>
        <v>0.122584429452163</v>
      </c>
      <c r="AM1168" s="77">
        <f t="shared" si="792"/>
        <v>6.0644834526237218E-4</v>
      </c>
      <c r="AN1168" s="77">
        <f t="shared" si="793"/>
        <v>2.6579302576477861E-3</v>
      </c>
      <c r="AO1168" s="13"/>
      <c r="AP1168" s="13"/>
    </row>
    <row r="1169" spans="1:42" ht="16.5" thickBot="1">
      <c r="A1169" s="187"/>
      <c r="B1169" s="1797" t="s">
        <v>433</v>
      </c>
      <c r="C1169" s="402" t="s">
        <v>388</v>
      </c>
      <c r="D1169" s="403">
        <v>700</v>
      </c>
      <c r="E1169" s="403">
        <v>5</v>
      </c>
      <c r="F1169" s="403">
        <v>20</v>
      </c>
      <c r="G1169" s="916">
        <v>682</v>
      </c>
      <c r="H1169" s="360">
        <f t="shared" si="783"/>
        <v>729.74</v>
      </c>
      <c r="I1169" s="360">
        <f t="shared" si="773"/>
        <v>401.35699999999997</v>
      </c>
      <c r="J1169" s="1641">
        <f t="shared" si="784"/>
        <v>375.09999999999997</v>
      </c>
      <c r="K1169" s="1617">
        <v>872</v>
      </c>
      <c r="L1169" s="406">
        <v>712</v>
      </c>
      <c r="M1169" s="407">
        <f>L1169/D1169*100%</f>
        <v>1.0171428571428571</v>
      </c>
      <c r="N1169" s="1798">
        <f>K1169-(K1169*$O$33)</f>
        <v>436</v>
      </c>
      <c r="O1169" s="409">
        <f>((N1169/J1169)-1)*100%</f>
        <v>0.16235670487869913</v>
      </c>
      <c r="P1169" s="388">
        <f>((N1169/I1169)-1)*100%</f>
        <v>8.6314677456728051E-2</v>
      </c>
      <c r="Q1169" s="1799">
        <v>8.5149450549450556</v>
      </c>
      <c r="R1169" s="408">
        <f t="shared" si="774"/>
        <v>400.48341076923083</v>
      </c>
      <c r="S1169" s="571">
        <f t="shared" si="775"/>
        <v>-6.7671049771343278E-2</v>
      </c>
      <c r="T1169" s="696">
        <f t="shared" si="785"/>
        <v>2.1765889987446128E-3</v>
      </c>
      <c r="U1169" s="261">
        <v>6.32</v>
      </c>
      <c r="V1169" s="1359">
        <f t="shared" si="786"/>
        <v>8.3108000000000004</v>
      </c>
      <c r="W1169" s="1359">
        <f t="shared" si="776"/>
        <v>390.8818564</v>
      </c>
      <c r="X1169" s="1360">
        <f t="shared" si="787"/>
        <v>439</v>
      </c>
      <c r="Y1169" s="1359">
        <f t="shared" si="788"/>
        <v>422.94</v>
      </c>
      <c r="Z1169" s="1360">
        <f t="shared" si="777"/>
        <v>798</v>
      </c>
      <c r="AA1169" s="1361">
        <f t="shared" si="778"/>
        <v>0.10960852756264236</v>
      </c>
      <c r="AB1169" s="1361">
        <f t="shared" si="779"/>
        <v>7.5798325057927829E-2</v>
      </c>
      <c r="AC1169" s="1362">
        <f>((N1169/Y1169)-1)*100%</f>
        <v>3.0879084503712129E-2</v>
      </c>
      <c r="AD1169" s="1669">
        <f>((N1169*0.96-W1169)/(N1169*0.96))*100%</f>
        <v>6.6127063264525984E-2</v>
      </c>
      <c r="AE1169" s="261">
        <f t="shared" si="780"/>
        <v>9.2700869602194196</v>
      </c>
      <c r="AF1169" s="1359">
        <f t="shared" si="789"/>
        <v>9.3379775280898887</v>
      </c>
      <c r="AG1169" s="1896">
        <v>16.98</v>
      </c>
      <c r="AH1169" s="1361">
        <f t="shared" si="781"/>
        <v>0.11000000000000006</v>
      </c>
      <c r="AI1169" s="77">
        <f t="shared" si="790"/>
        <v>2.0062416406598307E-2</v>
      </c>
      <c r="AJ1169" s="333">
        <v>45</v>
      </c>
      <c r="AK1169" s="270">
        <f t="shared" si="782"/>
        <v>-25.929687177604805</v>
      </c>
      <c r="AL1169" s="506">
        <f t="shared" si="791"/>
        <v>5.8161197350823042E-2</v>
      </c>
      <c r="AM1169" s="77">
        <f t="shared" si="792"/>
        <v>2.9989203886600824E-4</v>
      </c>
      <c r="AN1169" s="77">
        <f t="shared" si="793"/>
        <v>1.2610770140273236E-3</v>
      </c>
      <c r="AO1169" s="13"/>
      <c r="AP1169" s="13"/>
    </row>
    <row r="1170" spans="1:42" ht="15.75" thickBot="1">
      <c r="A1170" s="149" t="s">
        <v>141</v>
      </c>
      <c r="B1170" s="157"/>
      <c r="C1170" s="157" t="s">
        <v>142</v>
      </c>
      <c r="J1170" s="532"/>
      <c r="K1170" s="1852" t="s">
        <v>1475</v>
      </c>
      <c r="L1170" s="1852"/>
      <c r="M1170" s="1852"/>
      <c r="N1170" s="1788"/>
      <c r="O1170" s="459"/>
      <c r="P1170" s="769"/>
      <c r="Q1170" s="819"/>
      <c r="R1170" s="820"/>
      <c r="S1170" s="1043"/>
      <c r="U1170" s="309"/>
      <c r="V1170" s="309"/>
      <c r="W1170" s="309"/>
      <c r="X1170" s="309"/>
      <c r="Y1170" s="309"/>
      <c r="Z1170" s="309"/>
      <c r="AA1170" s="346">
        <v>0.08</v>
      </c>
      <c r="AB1170" s="628">
        <v>0.12</v>
      </c>
      <c r="AC1170" s="628">
        <v>0.18</v>
      </c>
      <c r="AD1170" s="585"/>
      <c r="AE1170" s="188"/>
      <c r="AF1170" s="188"/>
      <c r="AG1170" s="1866"/>
      <c r="AH1170" s="1851"/>
      <c r="AI1170" s="512">
        <f>S1163*AI1163+S1164*AI1164+S1165*AI1165+S1166*AI1166+S1167*AI1167+S1168*AI1168+S1169*AI1169</f>
        <v>-6.6651381786553276E-2</v>
      </c>
      <c r="AJ1170" s="513">
        <f>SUM(AJ1163:AJ1169)</f>
        <v>2243</v>
      </c>
      <c r="AK1170" s="514">
        <f>SUM(AK1163:AK1169)</f>
        <v>-445.82450772461397</v>
      </c>
      <c r="AM1170" s="307">
        <f>SUM(AM1163:AM1169)</f>
        <v>1.4947952070587921E-2</v>
      </c>
      <c r="AN1170" s="307">
        <f>SUM(AN1163:AN1169)</f>
        <v>2.1682445882615208E-2</v>
      </c>
      <c r="AO1170" s="13"/>
      <c r="AP1170" s="13"/>
    </row>
    <row r="1171" spans="1:42" ht="60.75" thickBot="1">
      <c r="A1171" s="187"/>
      <c r="B1171" s="189" t="s">
        <v>10</v>
      </c>
      <c r="C1171" s="190" t="s">
        <v>11</v>
      </c>
      <c r="D1171" s="190" t="s">
        <v>12</v>
      </c>
      <c r="E1171" s="190" t="s">
        <v>13</v>
      </c>
      <c r="F1171" s="190" t="s">
        <v>14</v>
      </c>
      <c r="G1171" s="191" t="s">
        <v>15</v>
      </c>
      <c r="H1171" s="347" t="s">
        <v>1090</v>
      </c>
      <c r="I1171" s="347">
        <f>$C$21</f>
        <v>0.45</v>
      </c>
      <c r="J1171" s="194">
        <f>$C$21</f>
        <v>0.45</v>
      </c>
      <c r="K1171" s="601" t="s">
        <v>15</v>
      </c>
      <c r="L1171" s="315" t="s">
        <v>12</v>
      </c>
      <c r="M1171" s="316" t="s">
        <v>1091</v>
      </c>
      <c r="N1171" s="605" t="s">
        <v>993</v>
      </c>
      <c r="O1171" s="317" t="s">
        <v>1092</v>
      </c>
      <c r="P1171" s="199" t="s">
        <v>1092</v>
      </c>
      <c r="Q1171" s="875" t="s">
        <v>1093</v>
      </c>
      <c r="R1171" s="876" t="s">
        <v>1094</v>
      </c>
      <c r="S1171" s="1126" t="s">
        <v>1095</v>
      </c>
      <c r="T1171" s="1117" t="s">
        <v>1095</v>
      </c>
      <c r="U1171" s="204" t="s">
        <v>1096</v>
      </c>
      <c r="V1171" s="205" t="s">
        <v>1093</v>
      </c>
      <c r="W1171" s="206" t="s">
        <v>1094</v>
      </c>
      <c r="X1171" s="207" t="s">
        <v>1097</v>
      </c>
      <c r="Y1171" s="208">
        <f>$X$1109</f>
        <v>0.47</v>
      </c>
      <c r="Z1171" s="207" t="s">
        <v>1098</v>
      </c>
      <c r="AA1171" s="209" t="s">
        <v>1099</v>
      </c>
      <c r="AB1171" s="209" t="s">
        <v>1100</v>
      </c>
      <c r="AC1171" s="210" t="s">
        <v>1092</v>
      </c>
      <c r="AD1171" s="211" t="s">
        <v>1101</v>
      </c>
      <c r="AE1171" s="212" t="s">
        <v>1102</v>
      </c>
      <c r="AF1171" s="208" t="s">
        <v>1103</v>
      </c>
      <c r="AG1171" s="1867" t="s">
        <v>1104</v>
      </c>
      <c r="AH1171" s="213" t="s">
        <v>1105</v>
      </c>
      <c r="AI1171" s="220" t="s">
        <v>1106</v>
      </c>
      <c r="AJ1171" s="483" t="s">
        <v>1107</v>
      </c>
      <c r="AK1171" s="484" t="s">
        <v>1108</v>
      </c>
      <c r="AL1171" s="221" t="s">
        <v>1109</v>
      </c>
      <c r="AM1171" s="221" t="s">
        <v>1175</v>
      </c>
      <c r="AN1171" s="221" t="s">
        <v>1176</v>
      </c>
      <c r="AO1171" s="13"/>
      <c r="AP1171" s="13"/>
    </row>
    <row r="1172" spans="1:42" ht="15.75">
      <c r="A1172" s="187"/>
      <c r="B1172" s="699" t="s">
        <v>434</v>
      </c>
      <c r="C1172" s="250" t="s">
        <v>376</v>
      </c>
      <c r="D1172" s="251">
        <v>135</v>
      </c>
      <c r="E1172" s="251">
        <v>10</v>
      </c>
      <c r="F1172" s="251">
        <v>100</v>
      </c>
      <c r="G1172" s="328">
        <v>140</v>
      </c>
      <c r="H1172" s="453">
        <f t="shared" ref="H1172:H1177" si="794">G1172*(1+$H$33)</f>
        <v>149.80000000000001</v>
      </c>
      <c r="I1172" s="453">
        <f t="shared" ref="I1172:I1177" si="795">H1172-H1172*$J$1114</f>
        <v>82.39</v>
      </c>
      <c r="J1172" s="1045">
        <f t="shared" ref="J1172:J1177" si="796">G1172-G1172*$J$1114</f>
        <v>77</v>
      </c>
      <c r="K1172" s="1094">
        <v>161</v>
      </c>
      <c r="L1172" s="322">
        <v>132</v>
      </c>
      <c r="M1172" s="323">
        <f>L1172/D1172*100%</f>
        <v>0.97777777777777775</v>
      </c>
      <c r="N1172" s="1767">
        <f>K1172-(K1172*$O$33)</f>
        <v>80.5</v>
      </c>
      <c r="O1172" s="1274">
        <f>((N1172/J1172)-1)*100%</f>
        <v>4.5454545454545414E-2</v>
      </c>
      <c r="P1172" s="1785">
        <f>((N1172/I1172)-1)*100%</f>
        <v>-2.2939677145284665E-2</v>
      </c>
      <c r="Q1172" s="336">
        <v>1.6203768624014021</v>
      </c>
      <c r="R1172" s="382">
        <f t="shared" ref="R1172:R1177" si="797">Q1172*$R$33</f>
        <v>76.211184969325146</v>
      </c>
      <c r="S1172" s="918">
        <f t="shared" ref="S1172:S1177" si="798">((J1172-R1172)/J1172)*100%</f>
        <v>1.024435104772538E-2</v>
      </c>
      <c r="T1172" s="1785">
        <f t="shared" ref="T1172:T1177" si="799">((I1172-R1172)/I1172)*100%</f>
        <v>7.4994720605350826E-2</v>
      </c>
      <c r="U1172" s="1358">
        <v>1.258</v>
      </c>
      <c r="V1172" s="1359">
        <f t="shared" ref="V1172:V1177" si="800">U1172*$U$1108</f>
        <v>1.6542699999999999</v>
      </c>
      <c r="W1172" s="1359">
        <f t="shared" ref="W1172:W1177" si="801">V1172*$R$33</f>
        <v>77.805280909999993</v>
      </c>
      <c r="X1172" s="1360">
        <f>(ROUND(W1172/(1-$AA$1170),0))</f>
        <v>85</v>
      </c>
      <c r="Y1172" s="1359">
        <f t="shared" ref="Y1172:Y1177" si="802">Z1172*(1-$X$1109)</f>
        <v>82.15</v>
      </c>
      <c r="Z1172" s="1360">
        <f t="shared" ref="Z1172:Z1177" si="803">ROUND(X1172/(1-$X$1108),0)</f>
        <v>155</v>
      </c>
      <c r="AA1172" s="1361">
        <f t="shared" ref="AA1172:AA1177" si="804">((X1172-W1172)/X1172)*100%</f>
        <v>8.4643754000000085E-2</v>
      </c>
      <c r="AB1172" s="1361">
        <f t="shared" ref="AB1172:AB1177" si="805">((Y1172-W1172)/Y1172)*100%</f>
        <v>5.2887633475350117E-2</v>
      </c>
      <c r="AC1172" s="1362">
        <f>((N1172/Y1172)-1)*100%</f>
        <v>-2.0085209981740793E-2</v>
      </c>
      <c r="AD1172" s="1669">
        <f>((N1172*0.96-W1172)/(N1172*0.96))*100%</f>
        <v>-6.7971132246375807E-3</v>
      </c>
      <c r="AE1172" s="261">
        <f t="shared" ref="AE1172:AE1177" si="806">N1172/$R$33</f>
        <v>1.7115642208662003</v>
      </c>
      <c r="AF1172" s="1359">
        <f>(V1172/(1-$AA$1170))</f>
        <v>1.7981195652173911</v>
      </c>
      <c r="AG1172" s="1896">
        <v>3.27</v>
      </c>
      <c r="AH1172" s="1361">
        <f t="shared" ref="AH1172:AH1177" si="807">((AF1172-V1172)/AF1172)*100%</f>
        <v>7.999999999999996E-2</v>
      </c>
      <c r="AI1172" s="92">
        <f t="shared" ref="AI1172:AI1177" si="808">AJ1172/$AJ$1178</f>
        <v>0.48095385568287397</v>
      </c>
      <c r="AJ1172" s="338">
        <f>[1]Статистика!D444</f>
        <v>1553</v>
      </c>
      <c r="AK1172" s="297">
        <f t="shared" ref="AK1172:AK1177" si="809">Q1172*S1172*AJ1172</f>
        <v>25.779348710704394</v>
      </c>
      <c r="AL1172" s="866">
        <f t="shared" ref="AL1172:AL1177" si="810">AK1172/$AK$1178</f>
        <v>-0.10822026016987295</v>
      </c>
      <c r="AM1172" s="92">
        <f t="shared" ref="AM1172:AM1177" si="811">AJ1172/$AJ$1226</f>
        <v>1.0349607474642463E-2</v>
      </c>
      <c r="AN1172" s="92">
        <f t="shared" ref="AN1172:AN1177" si="812">AK1172/$AK$1226</f>
        <v>-1.253765379928785E-3</v>
      </c>
      <c r="AO1172" s="13"/>
      <c r="AP1172" s="13"/>
    </row>
    <row r="1173" spans="1:42" ht="15.75">
      <c r="A1173" s="271"/>
      <c r="B1173" s="699" t="s">
        <v>546</v>
      </c>
      <c r="C1173" s="250" t="s">
        <v>378</v>
      </c>
      <c r="D1173" s="251">
        <v>161</v>
      </c>
      <c r="E1173" s="251">
        <v>10</v>
      </c>
      <c r="F1173" s="251">
        <v>80</v>
      </c>
      <c r="G1173" s="328">
        <v>190</v>
      </c>
      <c r="H1173" s="453">
        <f t="shared" si="794"/>
        <v>203.3</v>
      </c>
      <c r="I1173" s="453">
        <f t="shared" si="795"/>
        <v>111.815</v>
      </c>
      <c r="J1173" s="1045">
        <f t="shared" si="796"/>
        <v>104.5</v>
      </c>
      <c r="K1173" s="1800"/>
      <c r="L1173" s="1230"/>
      <c r="M1173" s="1795"/>
      <c r="N1173" s="1801"/>
      <c r="O1173" s="1233"/>
      <c r="P1173" s="472"/>
      <c r="Q1173" s="331">
        <v>1.9706303724928367</v>
      </c>
      <c r="R1173" s="382">
        <f t="shared" si="797"/>
        <v>92.684658309455585</v>
      </c>
      <c r="S1173" s="918">
        <f t="shared" si="798"/>
        <v>0.11306547072291306</v>
      </c>
      <c r="T1173" s="964">
        <f t="shared" si="799"/>
        <v>0.17108922497468509</v>
      </c>
      <c r="U1173" s="1358">
        <v>1.4379999999999999</v>
      </c>
      <c r="V1173" s="1359">
        <f t="shared" si="800"/>
        <v>1.8909699999999998</v>
      </c>
      <c r="W1173" s="1359">
        <f t="shared" si="801"/>
        <v>88.937992009999988</v>
      </c>
      <c r="X1173" s="1360">
        <f>(ROUND(W1173/(1-$AB$1170),0))</f>
        <v>101</v>
      </c>
      <c r="Y1173" s="1359">
        <f t="shared" si="802"/>
        <v>97.52000000000001</v>
      </c>
      <c r="Z1173" s="1360">
        <f t="shared" si="803"/>
        <v>184</v>
      </c>
      <c r="AA1173" s="1361">
        <f t="shared" si="804"/>
        <v>0.11942582168316844</v>
      </c>
      <c r="AB1173" s="1361">
        <f t="shared" si="805"/>
        <v>8.8002542965545744E-2</v>
      </c>
      <c r="AC1173" s="1362"/>
      <c r="AD1173" s="1669"/>
      <c r="AE1173" s="261">
        <f t="shared" si="806"/>
        <v>0</v>
      </c>
      <c r="AF1173" s="1359">
        <f>(V1173/(1-$AB$1170))</f>
        <v>2.1488295454545452</v>
      </c>
      <c r="AG1173" s="1896">
        <f>AF1173/(1-$X$1108)</f>
        <v>3.9069628099173546</v>
      </c>
      <c r="AH1173" s="1361">
        <f t="shared" si="807"/>
        <v>0.11999999999999998</v>
      </c>
      <c r="AI1173" s="77">
        <f t="shared" si="808"/>
        <v>9.3837101269742956E-2</v>
      </c>
      <c r="AJ1173" s="333">
        <f>[1]Статистика!D445</f>
        <v>303</v>
      </c>
      <c r="AK1173" s="270">
        <f t="shared" si="809"/>
        <v>67.511505958091945</v>
      </c>
      <c r="AL1173" s="506">
        <f t="shared" si="810"/>
        <v>-0.28340951593594416</v>
      </c>
      <c r="AM1173" s="77">
        <f t="shared" si="811"/>
        <v>2.0192730616977886E-3</v>
      </c>
      <c r="AN1173" s="77">
        <f t="shared" si="812"/>
        <v>-3.2833874069892583E-3</v>
      </c>
      <c r="AO1173" s="13"/>
      <c r="AP1173" s="13"/>
    </row>
    <row r="1174" spans="1:42" ht="15.75">
      <c r="A1174" s="187"/>
      <c r="B1174" s="250" t="s">
        <v>435</v>
      </c>
      <c r="C1174" s="250" t="s">
        <v>380</v>
      </c>
      <c r="D1174" s="251">
        <v>236</v>
      </c>
      <c r="E1174" s="251">
        <v>10</v>
      </c>
      <c r="F1174" s="251">
        <v>60</v>
      </c>
      <c r="G1174" s="328">
        <v>206</v>
      </c>
      <c r="H1174" s="453">
        <f t="shared" si="794"/>
        <v>220.42000000000002</v>
      </c>
      <c r="I1174" s="453">
        <f t="shared" si="795"/>
        <v>121.23100000000001</v>
      </c>
      <c r="J1174" s="1045">
        <f t="shared" si="796"/>
        <v>113.3</v>
      </c>
      <c r="K1174" s="1094">
        <v>275</v>
      </c>
      <c r="L1174" s="322">
        <v>240</v>
      </c>
      <c r="M1174" s="335">
        <f>L1174/D1174*100%</f>
        <v>1.0169491525423728</v>
      </c>
      <c r="N1174" s="1767">
        <f>K1174-(K1174*$O$33)</f>
        <v>137.5</v>
      </c>
      <c r="O1174" s="386">
        <f>((N1174/J1174)-1)*100%</f>
        <v>0.21359223300970887</v>
      </c>
      <c r="P1174" s="472">
        <f>((N1174/I1174)-1)*100%</f>
        <v>0.13419834860720425</v>
      </c>
      <c r="Q1174" s="336">
        <v>2.6042475908080061</v>
      </c>
      <c r="R1174" s="382">
        <f t="shared" si="797"/>
        <v>122.48557693847295</v>
      </c>
      <c r="S1174" s="918">
        <f t="shared" si="798"/>
        <v>-8.1073053296319059E-2</v>
      </c>
      <c r="T1174" s="964">
        <f t="shared" si="799"/>
        <v>-1.0348647940484998E-2</v>
      </c>
      <c r="U1174" s="1358">
        <v>1.9790000000000001</v>
      </c>
      <c r="V1174" s="1359">
        <f t="shared" si="800"/>
        <v>2.6023849999999999</v>
      </c>
      <c r="W1174" s="1359">
        <f t="shared" si="801"/>
        <v>122.397973705</v>
      </c>
      <c r="X1174" s="1360">
        <f>(ROUND(W1174/(1-$AB$1170),0))</f>
        <v>139</v>
      </c>
      <c r="Y1174" s="1359">
        <f t="shared" si="802"/>
        <v>134.09</v>
      </c>
      <c r="Z1174" s="1360">
        <f t="shared" si="803"/>
        <v>253</v>
      </c>
      <c r="AA1174" s="1361">
        <f t="shared" si="804"/>
        <v>0.1194390380935252</v>
      </c>
      <c r="AB1174" s="1361">
        <f t="shared" si="805"/>
        <v>8.7195363524498512E-2</v>
      </c>
      <c r="AC1174" s="1673">
        <f>((N1174/Y1174)-1)*100%</f>
        <v>2.5430680885972112E-2</v>
      </c>
      <c r="AD1174" s="1669">
        <f>((N1174*0.96-W1174)/(N1174*0.96))*100%</f>
        <v>7.2742623446969704E-2</v>
      </c>
      <c r="AE1174" s="261">
        <f t="shared" si="806"/>
        <v>2.9234792592435097</v>
      </c>
      <c r="AF1174" s="1359">
        <f>(V1174/(1-$AB$1170))</f>
        <v>2.9572556818181819</v>
      </c>
      <c r="AG1174" s="1896">
        <v>5.38</v>
      </c>
      <c r="AH1174" s="1361">
        <f t="shared" si="807"/>
        <v>0.12000000000000004</v>
      </c>
      <c r="AI1174" s="77">
        <f t="shared" si="808"/>
        <v>0.24094146794673274</v>
      </c>
      <c r="AJ1174" s="333">
        <f>[1]Статистика!D446</f>
        <v>778</v>
      </c>
      <c r="AK1174" s="270">
        <f t="shared" si="809"/>
        <v>-164.26248829912984</v>
      </c>
      <c r="AL1174" s="506">
        <f t="shared" si="810"/>
        <v>0.6895647139642892</v>
      </c>
      <c r="AM1174" s="77">
        <f t="shared" si="811"/>
        <v>5.1848001386167646E-3</v>
      </c>
      <c r="AN1174" s="77">
        <f t="shared" si="812"/>
        <v>7.9888217255423E-3</v>
      </c>
      <c r="AO1174" s="13"/>
      <c r="AP1174" s="13"/>
    </row>
    <row r="1175" spans="1:42" ht="15.75">
      <c r="A1175" s="187"/>
      <c r="B1175" s="657" t="s">
        <v>790</v>
      </c>
      <c r="C1175" s="925" t="s">
        <v>382</v>
      </c>
      <c r="D1175" s="926">
        <v>236</v>
      </c>
      <c r="E1175" s="926">
        <v>10</v>
      </c>
      <c r="F1175" s="926">
        <v>60</v>
      </c>
      <c r="G1175" s="433">
        <v>220</v>
      </c>
      <c r="H1175" s="453">
        <f t="shared" si="794"/>
        <v>235.4</v>
      </c>
      <c r="I1175" s="453">
        <f t="shared" si="795"/>
        <v>129.47</v>
      </c>
      <c r="J1175" s="1567">
        <f t="shared" si="796"/>
        <v>121</v>
      </c>
      <c r="K1175" s="1568">
        <v>274</v>
      </c>
      <c r="L1175" s="929">
        <v>244</v>
      </c>
      <c r="M1175" s="1008">
        <f>L1175/D1175*100%</f>
        <v>1.0338983050847457</v>
      </c>
      <c r="N1175" s="1768">
        <f>K1175-(K1175*$O$33)</f>
        <v>137</v>
      </c>
      <c r="O1175" s="598">
        <f>((N1175/J1175)-1)*100%</f>
        <v>0.13223140495867769</v>
      </c>
      <c r="P1175" s="472">
        <f>((N1175/I1175)-1)*100%</f>
        <v>5.8160191550166163E-2</v>
      </c>
      <c r="Q1175" s="1010">
        <v>2.8207599309153708</v>
      </c>
      <c r="R1175" s="496">
        <f t="shared" si="797"/>
        <v>132.66880183074264</v>
      </c>
      <c r="S1175" s="1778">
        <f t="shared" si="798"/>
        <v>-9.6436378766468073E-2</v>
      </c>
      <c r="T1175" s="696">
        <f t="shared" si="799"/>
        <v>-2.4706896043428121E-2</v>
      </c>
      <c r="U1175" s="261">
        <v>2.1070000000000002</v>
      </c>
      <c r="V1175" s="262">
        <f t="shared" si="800"/>
        <v>2.770705</v>
      </c>
      <c r="W1175" s="262">
        <f t="shared" si="801"/>
        <v>130.31456826499999</v>
      </c>
      <c r="X1175" s="1360">
        <f>(ROUND(W1175/(1-$AA$1170),0))</f>
        <v>142</v>
      </c>
      <c r="Y1175" s="262">
        <f t="shared" si="802"/>
        <v>136.74</v>
      </c>
      <c r="Z1175" s="263">
        <f t="shared" si="803"/>
        <v>258</v>
      </c>
      <c r="AA1175" s="264">
        <f t="shared" si="804"/>
        <v>8.2291772781690198E-2</v>
      </c>
      <c r="AB1175" s="264">
        <f t="shared" si="805"/>
        <v>4.6990139937107045E-2</v>
      </c>
      <c r="AC1175" s="1675">
        <f>((N1175/Y1175)-1)*100%</f>
        <v>1.9014187509140967E-3</v>
      </c>
      <c r="AD1175" s="266">
        <f>((N1175*0.96-W1175)/(N1175*0.96))*100%</f>
        <v>9.1653872795011467E-3</v>
      </c>
      <c r="AE1175" s="261">
        <f t="shared" si="806"/>
        <v>2.9128484255735332</v>
      </c>
      <c r="AF1175" s="1359">
        <f>(V1175/(1-$AA$1170))</f>
        <v>3.0116358695652172</v>
      </c>
      <c r="AG1175" s="1869">
        <v>5.48</v>
      </c>
      <c r="AH1175" s="264">
        <f t="shared" si="807"/>
        <v>7.999999999999996E-2</v>
      </c>
      <c r="AI1175" s="77">
        <f t="shared" si="808"/>
        <v>0.11923196035924435</v>
      </c>
      <c r="AJ1175" s="333">
        <f>[1]Статистика!D447</f>
        <v>385</v>
      </c>
      <c r="AK1175" s="270">
        <f t="shared" si="809"/>
        <v>-104.72919114620694</v>
      </c>
      <c r="AL1175" s="506">
        <f t="shared" si="810"/>
        <v>0.43964727117084662</v>
      </c>
      <c r="AM1175" s="77">
        <f t="shared" si="811"/>
        <v>2.5657429991869595E-3</v>
      </c>
      <c r="AN1175" s="77">
        <f t="shared" si="812"/>
        <v>5.093450404840375E-3</v>
      </c>
      <c r="AO1175" s="13"/>
      <c r="AP1175" s="13"/>
    </row>
    <row r="1176" spans="1:42" ht="15.75">
      <c r="A1176" s="187"/>
      <c r="B1176" s="699" t="s">
        <v>547</v>
      </c>
      <c r="C1176" s="250" t="s">
        <v>384</v>
      </c>
      <c r="D1176" s="251">
        <v>353</v>
      </c>
      <c r="E1176" s="251">
        <v>5</v>
      </c>
      <c r="F1176" s="251">
        <v>30</v>
      </c>
      <c r="G1176" s="433">
        <v>320</v>
      </c>
      <c r="H1176" s="453">
        <f t="shared" si="794"/>
        <v>342.40000000000003</v>
      </c>
      <c r="I1176" s="453">
        <f t="shared" si="795"/>
        <v>188.32000000000002</v>
      </c>
      <c r="J1176" s="1045">
        <f t="shared" si="796"/>
        <v>176</v>
      </c>
      <c r="K1176" s="1094">
        <v>369</v>
      </c>
      <c r="L1176" s="322">
        <v>303</v>
      </c>
      <c r="M1176" s="323">
        <f>L1176/D1176*100%</f>
        <v>0.85835694050991507</v>
      </c>
      <c r="N1176" s="1767">
        <f>K1176-(K1176*$O$33)</f>
        <v>184.5</v>
      </c>
      <c r="O1176" s="1274">
        <f>((N1176/J1176)-1)*100%</f>
        <v>4.8295454545454586E-2</v>
      </c>
      <c r="P1176" s="964">
        <f>((N1176/I1176)-1)*100%</f>
        <v>-2.0284621920136026E-2</v>
      </c>
      <c r="Q1176" s="331">
        <v>4.1371199999999995</v>
      </c>
      <c r="R1176" s="382">
        <f t="shared" si="797"/>
        <v>194.58116495999997</v>
      </c>
      <c r="S1176" s="918">
        <f t="shared" si="798"/>
        <v>-0.10557480090909072</v>
      </c>
      <c r="T1176" s="696">
        <f t="shared" si="799"/>
        <v>-3.3247477485131398E-2</v>
      </c>
      <c r="U1176" s="261">
        <v>3.0230000000000001</v>
      </c>
      <c r="V1176" s="262">
        <f t="shared" si="800"/>
        <v>3.9752450000000001</v>
      </c>
      <c r="W1176" s="262">
        <f t="shared" si="801"/>
        <v>186.96769808500002</v>
      </c>
      <c r="X1176" s="1360">
        <f>(ROUND(W1176/(1-$AB$1170),0))</f>
        <v>212</v>
      </c>
      <c r="Y1176" s="262">
        <f t="shared" si="802"/>
        <v>204.05</v>
      </c>
      <c r="Z1176" s="263">
        <f t="shared" si="803"/>
        <v>385</v>
      </c>
      <c r="AA1176" s="264">
        <f t="shared" si="804"/>
        <v>0.11807689582547158</v>
      </c>
      <c r="AB1176" s="264">
        <f t="shared" si="805"/>
        <v>8.3716255403087414E-2</v>
      </c>
      <c r="AC1176" s="1590">
        <f>((N1176/Y1176)-1)*100%</f>
        <v>-9.5809850526831664E-2</v>
      </c>
      <c r="AD1176" s="266">
        <f>((N1176*0.96-W1176)/(N1176*0.96))*100%</f>
        <v>-5.5599018095076891E-2</v>
      </c>
      <c r="AE1176" s="261">
        <f t="shared" si="806"/>
        <v>3.9227776242212915</v>
      </c>
      <c r="AF1176" s="1359">
        <f>(V1176/(1-$AB$1170))</f>
        <v>4.5173238636363635</v>
      </c>
      <c r="AG1176" s="1869">
        <f>AF1176/(1-$X$1108)</f>
        <v>8.2133161157024777</v>
      </c>
      <c r="AH1176" s="264">
        <f t="shared" si="807"/>
        <v>0.11999999999999994</v>
      </c>
      <c r="AI1176" s="77">
        <f t="shared" si="808"/>
        <v>5.5435119231960359E-2</v>
      </c>
      <c r="AJ1176" s="333">
        <f>[1]Статистика!D448</f>
        <v>179</v>
      </c>
      <c r="AK1176" s="270">
        <f t="shared" si="809"/>
        <v>-78.182836040326109</v>
      </c>
      <c r="AL1176" s="506">
        <f t="shared" si="810"/>
        <v>0.32820716116809234</v>
      </c>
      <c r="AM1176" s="77">
        <f t="shared" si="811"/>
        <v>1.1929038879336773E-3</v>
      </c>
      <c r="AN1176" s="77">
        <f t="shared" si="812"/>
        <v>3.8023820629458794E-3</v>
      </c>
      <c r="AO1176" s="13"/>
      <c r="AP1176" s="13"/>
    </row>
    <row r="1177" spans="1:42" ht="16.5" thickBot="1">
      <c r="A1177" s="187"/>
      <c r="B1177" s="699" t="s">
        <v>436</v>
      </c>
      <c r="C1177" s="250" t="s">
        <v>388</v>
      </c>
      <c r="D1177" s="251">
        <v>575</v>
      </c>
      <c r="E1177" s="251">
        <v>5</v>
      </c>
      <c r="F1177" s="251">
        <v>40</v>
      </c>
      <c r="G1177" s="328">
        <v>636</v>
      </c>
      <c r="H1177" s="453">
        <f t="shared" si="794"/>
        <v>680.5200000000001</v>
      </c>
      <c r="I1177" s="453">
        <f t="shared" si="795"/>
        <v>374.28600000000006</v>
      </c>
      <c r="J1177" s="1045">
        <f t="shared" si="796"/>
        <v>349.8</v>
      </c>
      <c r="K1177" s="900">
        <v>803</v>
      </c>
      <c r="L1177" s="341">
        <v>672</v>
      </c>
      <c r="M1177" s="342">
        <f>L1177/D1177*100%</f>
        <v>1.1686956521739131</v>
      </c>
      <c r="N1177" s="1767">
        <f>K1177-(K1177*$O$33)</f>
        <v>401.5</v>
      </c>
      <c r="O1177" s="391">
        <f>((N1177/J1177)-1)*100%</f>
        <v>0.14779874213836464</v>
      </c>
      <c r="P1177" s="475">
        <f>((N1177/I1177)-1)*100%</f>
        <v>7.2709104802209934E-2</v>
      </c>
      <c r="Q1177" s="331">
        <v>6.8917696629213481</v>
      </c>
      <c r="R1177" s="382">
        <f t="shared" si="797"/>
        <v>324.14060255617977</v>
      </c>
      <c r="S1177" s="918">
        <f t="shared" si="798"/>
        <v>7.3354480971470098E-2</v>
      </c>
      <c r="T1177" s="696">
        <f t="shared" si="799"/>
        <v>0.13397615044062636</v>
      </c>
      <c r="U1177" s="261">
        <v>5.0380000000000003</v>
      </c>
      <c r="V1177" s="262">
        <f t="shared" si="800"/>
        <v>6.6249700000000002</v>
      </c>
      <c r="W1177" s="262">
        <f t="shared" si="801"/>
        <v>311.59221401000002</v>
      </c>
      <c r="X1177" s="1360">
        <f>(ROUND(W1177/(1-$AC$1170),0))</f>
        <v>380</v>
      </c>
      <c r="Y1177" s="262">
        <f t="shared" si="802"/>
        <v>366.23</v>
      </c>
      <c r="Z1177" s="263">
        <f t="shared" si="803"/>
        <v>691</v>
      </c>
      <c r="AA1177" s="264">
        <f t="shared" si="804"/>
        <v>0.18002048944736837</v>
      </c>
      <c r="AB1177" s="264">
        <f t="shared" si="805"/>
        <v>0.14918981511618382</v>
      </c>
      <c r="AC1177" s="768">
        <f>((N1177/Y1177)-1)*100%</f>
        <v>9.6305600305818695E-2</v>
      </c>
      <c r="AD1177" s="266">
        <f>((N1177*0.96-W1177)/(N1177*0.96))*100%</f>
        <v>0.19159346718036524</v>
      </c>
      <c r="AE1177" s="261">
        <f t="shared" si="806"/>
        <v>8.5365594369910482</v>
      </c>
      <c r="AF1177" s="1359">
        <f>(V1177/(1-$AC$1170))</f>
        <v>8.0792317073170725</v>
      </c>
      <c r="AG1177" s="1869">
        <f>AF1177/(1-$X$1108)</f>
        <v>14.689512195121949</v>
      </c>
      <c r="AH1177" s="264">
        <f t="shared" si="807"/>
        <v>0.17999999999999991</v>
      </c>
      <c r="AI1177" s="77">
        <f t="shared" si="808"/>
        <v>9.6004955094456494E-3</v>
      </c>
      <c r="AJ1177" s="333">
        <f>[1]Статистика!D449</f>
        <v>31</v>
      </c>
      <c r="AK1177" s="270">
        <f t="shared" si="809"/>
        <v>15.671807784554087</v>
      </c>
      <c r="AL1177" s="506">
        <f t="shared" si="810"/>
        <v>-6.5789370197411087E-2</v>
      </c>
      <c r="AM1177" s="77">
        <f t="shared" si="811"/>
        <v>2.065922934410279E-4</v>
      </c>
      <c r="AN1177" s="77">
        <f t="shared" si="812"/>
        <v>-7.6219031992121511E-4</v>
      </c>
      <c r="AO1177" s="13"/>
      <c r="AP1177" s="13"/>
    </row>
    <row r="1178" spans="1:42" ht="15.75" thickBot="1">
      <c r="A1178" s="149" t="s">
        <v>143</v>
      </c>
      <c r="J1178" s="532"/>
      <c r="K1178" s="533"/>
      <c r="N1178" s="1756"/>
      <c r="P1178" s="886"/>
      <c r="Q1178" s="819"/>
      <c r="R1178" s="820"/>
      <c r="S1178" s="1043"/>
      <c r="T1178" s="886"/>
      <c r="U1178" s="1333"/>
      <c r="V1178" s="1333"/>
      <c r="W1178" s="1333"/>
      <c r="X1178" s="1333"/>
      <c r="Y1178" s="1333"/>
      <c r="Z1178" s="1333"/>
      <c r="AA1178" s="1043"/>
      <c r="AB1178" s="1043"/>
      <c r="AC1178" s="1043"/>
      <c r="AD1178" s="1043"/>
      <c r="AE1178" s="1333"/>
      <c r="AF1178" s="1333"/>
      <c r="AG1178" s="1893"/>
      <c r="AH1178" s="1043"/>
      <c r="AI1178" s="512">
        <f>S1172*AI1172+S1173*AI1173+S1174*AI1174+S1175*AI1175+S1176*AI1176+S1177*AI1177</f>
        <v>-2.0643675111823457E-2</v>
      </c>
      <c r="AJ1178" s="1463">
        <f>SUM(AJ1172:AJ1177)</f>
        <v>3229</v>
      </c>
      <c r="AK1178" s="514">
        <f>SUM(AK1172:AK1177)</f>
        <v>-238.21185303231246</v>
      </c>
      <c r="AM1178" s="307">
        <f>SUM(AM1172:AM1177)</f>
        <v>2.1518919855518678E-2</v>
      </c>
      <c r="AN1178" s="307">
        <f>SUM(AN1172:AN1177)</f>
        <v>1.1585311086489296E-2</v>
      </c>
      <c r="AO1178" s="13"/>
      <c r="AP1178" s="13"/>
    </row>
    <row r="1179" spans="1:42" ht="15.75" thickBot="1">
      <c r="A1179" s="187"/>
      <c r="C1179" s="157" t="s">
        <v>144</v>
      </c>
      <c r="J1179" s="532"/>
      <c r="K1179" s="1852" t="s">
        <v>1476</v>
      </c>
      <c r="L1179" s="1852"/>
      <c r="M1179" s="1852"/>
      <c r="N1179" s="1788"/>
      <c r="O1179" s="459"/>
      <c r="P1179" s="459"/>
      <c r="U1179" s="309"/>
      <c r="V1179" s="309"/>
      <c r="W1179" s="309"/>
      <c r="X1179" s="309"/>
      <c r="Y1179" s="309"/>
      <c r="Z1179" s="309"/>
      <c r="AA1179" s="346">
        <v>0.2</v>
      </c>
      <c r="AB1179" s="628"/>
      <c r="AC1179" s="628"/>
      <c r="AD1179" s="585"/>
      <c r="AE1179" s="188"/>
      <c r="AF1179" s="188"/>
      <c r="AG1179" s="1866"/>
      <c r="AH1179" s="1851"/>
      <c r="AO1179" s="13"/>
      <c r="AP1179" s="13"/>
    </row>
    <row r="1180" spans="1:42" ht="36.75" thickBot="1">
      <c r="A1180" s="187"/>
      <c r="B1180" s="189" t="s">
        <v>10</v>
      </c>
      <c r="C1180" s="190" t="s">
        <v>11</v>
      </c>
      <c r="D1180" s="190" t="s">
        <v>12</v>
      </c>
      <c r="E1180" s="190" t="s">
        <v>13</v>
      </c>
      <c r="F1180" s="190" t="s">
        <v>14</v>
      </c>
      <c r="G1180" s="191" t="s">
        <v>15</v>
      </c>
      <c r="H1180" s="347" t="s">
        <v>1090</v>
      </c>
      <c r="I1180" s="347">
        <f>$C$21</f>
        <v>0.45</v>
      </c>
      <c r="J1180" s="873">
        <f>$C$21</f>
        <v>0.45</v>
      </c>
      <c r="K1180" s="601" t="s">
        <v>15</v>
      </c>
      <c r="L1180" s="315" t="s">
        <v>12</v>
      </c>
      <c r="M1180" s="316" t="s">
        <v>1091</v>
      </c>
      <c r="N1180" s="605" t="s">
        <v>993</v>
      </c>
      <c r="O1180" s="317" t="s">
        <v>1092</v>
      </c>
      <c r="P1180" s="602" t="s">
        <v>1092</v>
      </c>
      <c r="Q1180" s="875" t="s">
        <v>1093</v>
      </c>
      <c r="R1180" s="876" t="s">
        <v>1094</v>
      </c>
      <c r="S1180" s="1126" t="s">
        <v>1095</v>
      </c>
      <c r="T1180" s="1802" t="s">
        <v>1095</v>
      </c>
      <c r="U1180" s="204" t="s">
        <v>1096</v>
      </c>
      <c r="V1180" s="205" t="s">
        <v>1093</v>
      </c>
      <c r="W1180" s="206" t="s">
        <v>1094</v>
      </c>
      <c r="X1180" s="207" t="s">
        <v>1097</v>
      </c>
      <c r="Y1180" s="208">
        <f>$X$1109</f>
        <v>0.47</v>
      </c>
      <c r="Z1180" s="207" t="s">
        <v>1098</v>
      </c>
      <c r="AA1180" s="209" t="s">
        <v>1099</v>
      </c>
      <c r="AB1180" s="209" t="s">
        <v>1100</v>
      </c>
      <c r="AC1180" s="210" t="s">
        <v>1092</v>
      </c>
      <c r="AD1180" s="211" t="s">
        <v>1101</v>
      </c>
      <c r="AE1180" s="212" t="s">
        <v>1102</v>
      </c>
      <c r="AF1180" s="208" t="s">
        <v>1103</v>
      </c>
      <c r="AG1180" s="1867" t="s">
        <v>1104</v>
      </c>
      <c r="AH1180" s="213" t="s">
        <v>1105</v>
      </c>
      <c r="AJ1180" s="483" t="s">
        <v>1107</v>
      </c>
      <c r="AK1180" s="484" t="s">
        <v>1108</v>
      </c>
      <c r="AM1180" s="219" t="s">
        <v>1175</v>
      </c>
      <c r="AN1180" s="219" t="s">
        <v>1176</v>
      </c>
      <c r="AO1180" s="13"/>
      <c r="AP1180" s="13"/>
    </row>
    <row r="1181" spans="1:42" ht="16.5" thickBot="1">
      <c r="A1181" s="187"/>
      <c r="B1181" s="1803" t="s">
        <v>437</v>
      </c>
      <c r="C1181" s="754">
        <v>16</v>
      </c>
      <c r="D1181" s="755">
        <v>234</v>
      </c>
      <c r="E1181" s="755">
        <v>10</v>
      </c>
      <c r="F1181" s="755">
        <v>60</v>
      </c>
      <c r="G1181" s="756">
        <v>276</v>
      </c>
      <c r="H1181" s="488">
        <f>G1181*(1+$H$33)</f>
        <v>295.32</v>
      </c>
      <c r="I1181" s="488">
        <f>H1181-H1181*$J$1114</f>
        <v>162.42599999999999</v>
      </c>
      <c r="J1181" s="1040">
        <f>G1181-G1181*$J$1114</f>
        <v>151.80000000000001</v>
      </c>
      <c r="K1181" s="340">
        <v>331</v>
      </c>
      <c r="L1181" s="341">
        <v>234</v>
      </c>
      <c r="M1181" s="1804">
        <f>L1181/D1181*100%</f>
        <v>1</v>
      </c>
      <c r="N1181" s="1805">
        <f>K1181-(K1181*$O$33)</f>
        <v>165.5</v>
      </c>
      <c r="O1181" s="1806">
        <f>((N1181/J1181)-1)*100%</f>
        <v>9.025032938076416E-2</v>
      </c>
      <c r="P1181" s="964">
        <f>((N1181/I1181)-1)*100%</f>
        <v>1.8925541477349705E-2</v>
      </c>
      <c r="Q1181" s="336">
        <v>2.8620175438596491</v>
      </c>
      <c r="R1181" s="382">
        <f>Q1181*$R$33</f>
        <v>134.60927114035087</v>
      </c>
      <c r="S1181" s="918">
        <f>((J1181-R1181)/J1181)*100%</f>
        <v>0.11324590816633162</v>
      </c>
      <c r="T1181" s="696">
        <f>((I1181-R1181)/I1181)*100%</f>
        <v>0.17125785809937522</v>
      </c>
      <c r="U1181" s="1358">
        <v>2.1070000000000002</v>
      </c>
      <c r="V1181" s="1359">
        <f>U1181*$U$1108</f>
        <v>2.770705</v>
      </c>
      <c r="W1181" s="1359">
        <f>V1181*$R$33</f>
        <v>130.31456826499999</v>
      </c>
      <c r="X1181" s="1360">
        <f>(ROUND(W1181/(1-$AA$1179),0))</f>
        <v>163</v>
      </c>
      <c r="Y1181" s="1359">
        <f>Z1181*(1-$X$1109)</f>
        <v>156.88</v>
      </c>
      <c r="Z1181" s="1360">
        <f>ROUND(X1181/(1-$X$1108),0)</f>
        <v>296</v>
      </c>
      <c r="AA1181" s="1361">
        <f>((X1181-W1181)/X1181)*100%</f>
        <v>0.20052412107361969</v>
      </c>
      <c r="AB1181" s="1361">
        <f>((Y1181-W1181)/Y1181)*100%</f>
        <v>0.16933600035058646</v>
      </c>
      <c r="AC1181" s="1673">
        <f>((N1181/Y1181)-1)*100%</f>
        <v>5.4946455889852253E-2</v>
      </c>
      <c r="AD1181" s="1669">
        <f>((N1181*0.96-W1181)/(N1181*0.96))*100%</f>
        <v>0.1797924958144512</v>
      </c>
      <c r="AE1181" s="261">
        <f>N1181/$R$33</f>
        <v>3.518805944762188</v>
      </c>
      <c r="AF1181" s="1359">
        <f>(V1181/(1-$AA$1179))</f>
        <v>3.4633812499999999</v>
      </c>
      <c r="AG1181" s="1896">
        <v>6.3</v>
      </c>
      <c r="AH1181" s="1361">
        <f>((AF1181-V1181)/AF1181)*100%</f>
        <v>0.19999999999999998</v>
      </c>
      <c r="AJ1181" s="1480">
        <f>[1]Статистика!D470</f>
        <v>90</v>
      </c>
      <c r="AK1181" s="76">
        <f>AJ1181*Q1181*S1181</f>
        <v>29.170059834812385</v>
      </c>
      <c r="AM1181" s="499">
        <f>AJ1181/$AJ$1226</f>
        <v>5.9978407773201648E-4</v>
      </c>
      <c r="AN1181" s="499">
        <f>AK1181/$AK$1226</f>
        <v>-1.4186708734093398E-3</v>
      </c>
      <c r="AO1181" s="13"/>
      <c r="AP1181" s="13"/>
    </row>
    <row r="1182" spans="1:42">
      <c r="A1182" s="187"/>
      <c r="B1182" s="2"/>
      <c r="C1182" s="413"/>
      <c r="D1182" s="414"/>
      <c r="E1182" s="414"/>
      <c r="F1182" s="414"/>
      <c r="G1182" s="415"/>
      <c r="H1182" s="416"/>
      <c r="I1182" s="416"/>
      <c r="J1182" s="1042"/>
      <c r="K1182" s="815"/>
      <c r="L1182" s="779"/>
      <c r="M1182" s="1770"/>
      <c r="N1182" s="1771"/>
      <c r="O1182" s="817"/>
      <c r="P1182" s="817"/>
      <c r="AO1182" s="13"/>
      <c r="AP1182" s="13"/>
    </row>
    <row r="1183" spans="1:42">
      <c r="A1183" s="149" t="s">
        <v>145</v>
      </c>
      <c r="J1183" s="532"/>
      <c r="K1183" s="533"/>
      <c r="N1183" s="1756"/>
      <c r="AO1183" s="13"/>
      <c r="AP1183" s="13"/>
    </row>
    <row r="1184" spans="1:42" ht="15.75" thickBot="1">
      <c r="A1184" s="187"/>
      <c r="B1184" s="157"/>
      <c r="C1184" s="157" t="s">
        <v>146</v>
      </c>
      <c r="J1184" s="532"/>
      <c r="K1184" s="1850" t="s">
        <v>1477</v>
      </c>
      <c r="L1184" s="1850"/>
      <c r="M1184" s="1850"/>
      <c r="N1184" s="898"/>
      <c r="O1184" s="899"/>
      <c r="P1184" s="459"/>
      <c r="U1184" s="309"/>
      <c r="V1184" s="309"/>
      <c r="W1184" s="309"/>
      <c r="X1184" s="309"/>
      <c r="Y1184" s="309"/>
      <c r="Z1184" s="309"/>
      <c r="AA1184" s="346">
        <v>0.08</v>
      </c>
      <c r="AB1184" s="628">
        <v>0.28000000000000003</v>
      </c>
      <c r="AC1184" s="628"/>
      <c r="AD1184" s="585"/>
      <c r="AE1184" s="188"/>
      <c r="AF1184" s="188"/>
      <c r="AG1184" s="1866"/>
      <c r="AH1184" s="1851"/>
      <c r="AO1184" s="13"/>
      <c r="AP1184" s="13"/>
    </row>
    <row r="1185" spans="1:42" ht="60.75" thickBot="1">
      <c r="A1185" s="187"/>
      <c r="B1185" s="189" t="s">
        <v>10</v>
      </c>
      <c r="C1185" s="190" t="s">
        <v>11</v>
      </c>
      <c r="D1185" s="190" t="s">
        <v>12</v>
      </c>
      <c r="E1185" s="190" t="s">
        <v>13</v>
      </c>
      <c r="F1185" s="190" t="s">
        <v>14</v>
      </c>
      <c r="G1185" s="191" t="s">
        <v>15</v>
      </c>
      <c r="H1185" s="347" t="s">
        <v>1090</v>
      </c>
      <c r="I1185" s="347">
        <f>$C$21</f>
        <v>0.45</v>
      </c>
      <c r="J1185" s="873">
        <f>$C$21</f>
        <v>0.45</v>
      </c>
      <c r="K1185" s="601" t="s">
        <v>15</v>
      </c>
      <c r="L1185" s="315" t="s">
        <v>12</v>
      </c>
      <c r="M1185" s="316" t="s">
        <v>1091</v>
      </c>
      <c r="N1185" s="605" t="s">
        <v>993</v>
      </c>
      <c r="O1185" s="1153" t="s">
        <v>1092</v>
      </c>
      <c r="P1185" s="602" t="s">
        <v>1092</v>
      </c>
      <c r="Q1185" s="875" t="s">
        <v>1093</v>
      </c>
      <c r="R1185" s="876" t="s">
        <v>1094</v>
      </c>
      <c r="S1185" s="1126" t="s">
        <v>1095</v>
      </c>
      <c r="T1185" s="1376" t="s">
        <v>1095</v>
      </c>
      <c r="U1185" s="204" t="s">
        <v>1096</v>
      </c>
      <c r="V1185" s="205" t="s">
        <v>1093</v>
      </c>
      <c r="W1185" s="206" t="s">
        <v>1094</v>
      </c>
      <c r="X1185" s="207" t="s">
        <v>1097</v>
      </c>
      <c r="Y1185" s="208">
        <f>$X$1109</f>
        <v>0.47</v>
      </c>
      <c r="Z1185" s="207" t="s">
        <v>1098</v>
      </c>
      <c r="AA1185" s="209" t="s">
        <v>1099</v>
      </c>
      <c r="AB1185" s="209" t="s">
        <v>1100</v>
      </c>
      <c r="AC1185" s="210" t="s">
        <v>1092</v>
      </c>
      <c r="AD1185" s="211" t="s">
        <v>1101</v>
      </c>
      <c r="AE1185" s="212" t="s">
        <v>1102</v>
      </c>
      <c r="AF1185" s="208" t="s">
        <v>1103</v>
      </c>
      <c r="AG1185" s="1867" t="s">
        <v>1104</v>
      </c>
      <c r="AH1185" s="213" t="s">
        <v>1105</v>
      </c>
      <c r="AI1185" s="220" t="s">
        <v>1106</v>
      </c>
      <c r="AJ1185" s="483" t="s">
        <v>1107</v>
      </c>
      <c r="AK1185" s="484" t="s">
        <v>1108</v>
      </c>
      <c r="AL1185" s="221" t="s">
        <v>1109</v>
      </c>
      <c r="AM1185" s="221" t="s">
        <v>1175</v>
      </c>
      <c r="AN1185" s="221" t="s">
        <v>1176</v>
      </c>
      <c r="AO1185" s="13"/>
      <c r="AP1185" s="13"/>
    </row>
    <row r="1186" spans="1:42" ht="15.75">
      <c r="A1186" s="271"/>
      <c r="B1186" s="657" t="s">
        <v>438</v>
      </c>
      <c r="C1186" s="925">
        <v>16</v>
      </c>
      <c r="D1186" s="926">
        <v>105</v>
      </c>
      <c r="E1186" s="926">
        <v>10</v>
      </c>
      <c r="F1186" s="926">
        <v>150</v>
      </c>
      <c r="G1186" s="433">
        <v>114</v>
      </c>
      <c r="H1186" s="453">
        <f>G1186*(1+$H$33)</f>
        <v>121.98</v>
      </c>
      <c r="I1186" s="453">
        <f>H1186-H1186*$J$1114</f>
        <v>67.088999999999999</v>
      </c>
      <c r="J1186" s="1567">
        <f>G1186-G1186*$J$1114</f>
        <v>62.699999999999996</v>
      </c>
      <c r="K1186" s="1568">
        <v>125</v>
      </c>
      <c r="L1186" s="929">
        <v>101</v>
      </c>
      <c r="M1186" s="1516">
        <f>L1186/D1186*100%</f>
        <v>0.96190476190476193</v>
      </c>
      <c r="N1186" s="1768">
        <f>K1186-(K1186*$O$33)</f>
        <v>62.5</v>
      </c>
      <c r="O1186" s="1521">
        <f>((N1186/J1186)-1)*100%</f>
        <v>-3.1897926634768536E-3</v>
      </c>
      <c r="P1186" s="964">
        <f>((N1186/I1186)-1)*100%</f>
        <v>-6.8401675386426941E-2</v>
      </c>
      <c r="Q1186" s="1012">
        <v>1.4528397044651464</v>
      </c>
      <c r="R1186" s="496">
        <f>Q1186*$R$33</f>
        <v>68.331409820109229</v>
      </c>
      <c r="S1186" s="1778">
        <f>((J1186-R1186)/J1186)*100%</f>
        <v>-8.9815148646080284E-2</v>
      </c>
      <c r="T1186" s="696">
        <f>((I1186-R1186)/I1186)*100%</f>
        <v>-1.8518830510355359E-2</v>
      </c>
      <c r="U1186" s="1358">
        <v>1.1140000000000001</v>
      </c>
      <c r="V1186" s="1359">
        <f>U1186*$U$1108</f>
        <v>1.4649100000000002</v>
      </c>
      <c r="W1186" s="1359">
        <f>V1186*$R$33</f>
        <v>68.899112030000012</v>
      </c>
      <c r="X1186" s="1360">
        <f>(ROUND(W1186/(1-$AA$1184),0))</f>
        <v>75</v>
      </c>
      <c r="Y1186" s="1359">
        <f>Z1186*(1-$X$1109)</f>
        <v>72.08</v>
      </c>
      <c r="Z1186" s="1360">
        <f>ROUND(X1186/(1-$X$1108),0)</f>
        <v>136</v>
      </c>
      <c r="AA1186" s="1361">
        <f>((X1186-W1186)/X1186)*100%</f>
        <v>8.1345172933333168E-2</v>
      </c>
      <c r="AB1186" s="1361">
        <f>((Y1186-W1186)/Y1186)*100%</f>
        <v>4.4129966287458189E-2</v>
      </c>
      <c r="AC1186" s="1362">
        <f>((N1186/Y1186)-1)*100%</f>
        <v>-0.13290788013318533</v>
      </c>
      <c r="AD1186" s="1669">
        <f>((N1186*0.96-W1186)/(N1186*0.96))*100%</f>
        <v>-0.14831853383333354</v>
      </c>
      <c r="AE1186" s="261">
        <f>N1186/$R$33</f>
        <v>1.3288542087470498</v>
      </c>
      <c r="AF1186" s="1359">
        <f>(V1186/(1-$AA$1184))</f>
        <v>1.5922934782608698</v>
      </c>
      <c r="AG1186" s="1896">
        <v>2.9</v>
      </c>
      <c r="AH1186" s="1361">
        <f>((AF1186-V1186)/AF1186)*100%</f>
        <v>8.0000000000000016E-2</v>
      </c>
      <c r="AI1186" s="92">
        <f>AJ1186/$AJ$1190</f>
        <v>0.5605548432218207</v>
      </c>
      <c r="AJ1186" s="338">
        <f>[1]Статистика!D440</f>
        <v>4809</v>
      </c>
      <c r="AK1186" s="297">
        <f>Q1186*S1186*AJ1186</f>
        <v>-627.51205040036871</v>
      </c>
      <c r="AL1186" s="1807">
        <f>AK1186/$AK$1190</f>
        <v>0.43386945349046413</v>
      </c>
      <c r="AM1186" s="92">
        <f>AJ1186/$AJ$1226</f>
        <v>3.2048462553480747E-2</v>
      </c>
      <c r="AN1186" s="92">
        <f>AK1186/$AK$1226</f>
        <v>3.0518726175321281E-2</v>
      </c>
      <c r="AO1186" s="13"/>
      <c r="AP1186" s="13"/>
    </row>
    <row r="1187" spans="1:42" ht="15.75">
      <c r="A1187" s="187"/>
      <c r="B1187" s="657" t="s">
        <v>439</v>
      </c>
      <c r="C1187" s="925">
        <v>20</v>
      </c>
      <c r="D1187" s="926">
        <v>201</v>
      </c>
      <c r="E1187" s="926">
        <v>10</v>
      </c>
      <c r="F1187" s="926">
        <v>100</v>
      </c>
      <c r="G1187" s="433">
        <v>192</v>
      </c>
      <c r="H1187" s="453">
        <f>G1187*(1+$H$33)</f>
        <v>205.44</v>
      </c>
      <c r="I1187" s="453">
        <f>H1187-H1187*$J$1114</f>
        <v>112.99199999999999</v>
      </c>
      <c r="J1187" s="1567">
        <f>G1187-G1187*$J$1114</f>
        <v>105.6</v>
      </c>
      <c r="K1187" s="1568">
        <v>233</v>
      </c>
      <c r="L1187" s="929">
        <v>201</v>
      </c>
      <c r="M1187" s="1516">
        <f>L1187/D1187*100%</f>
        <v>1</v>
      </c>
      <c r="N1187" s="1768">
        <f>K1187-(K1187*$O$33)</f>
        <v>116.5</v>
      </c>
      <c r="O1187" s="1510">
        <f>((N1187/J1187)-1)*100%</f>
        <v>0.10321969696969702</v>
      </c>
      <c r="P1187" s="472">
        <f>((N1187/I1187)-1)*100%</f>
        <v>3.1046445766071962E-2</v>
      </c>
      <c r="Q1187" s="1010">
        <v>2.3836707152496626</v>
      </c>
      <c r="R1187" s="496">
        <f>Q1187*$R$33</f>
        <v>112.11118475033739</v>
      </c>
      <c r="S1187" s="1778">
        <f>((J1187-R1187)/J1187)*100%</f>
        <v>-6.1658946499407126E-2</v>
      </c>
      <c r="T1187" s="696">
        <f>((I1187-R1187)/I1187)*100%</f>
        <v>7.7953771033577928E-3</v>
      </c>
      <c r="U1187" s="1358">
        <v>1.841</v>
      </c>
      <c r="V1187" s="1359">
        <f>U1187*$U$1108</f>
        <v>2.4209149999999999</v>
      </c>
      <c r="W1187" s="1359">
        <f>V1187*$R$33</f>
        <v>113.86289519499999</v>
      </c>
      <c r="X1187" s="1360">
        <f>(ROUND(W1187/(1-$AA$1184),0))</f>
        <v>124</v>
      </c>
      <c r="Y1187" s="1359">
        <f>Z1187*(1-$X$1109)</f>
        <v>119.25</v>
      </c>
      <c r="Z1187" s="1360">
        <f>ROUND(X1187/(1-$X$1108),0)</f>
        <v>225</v>
      </c>
      <c r="AA1187" s="1361">
        <f>((X1187-W1187)/X1187)*100%</f>
        <v>8.1750845201612965E-2</v>
      </c>
      <c r="AB1187" s="1361">
        <f>((Y1187-W1187)/Y1187)*100%</f>
        <v>4.5174883060796707E-2</v>
      </c>
      <c r="AC1187" s="1362">
        <f>((N1187/Y1187)-1)*100%</f>
        <v>-2.3060796645702264E-2</v>
      </c>
      <c r="AD1187" s="1669">
        <f>((N1187*0.96-W1187)/(N1187*0.96))*100%</f>
        <v>-1.8087403388769706E-2</v>
      </c>
      <c r="AE1187" s="261">
        <f>N1187/$R$33</f>
        <v>2.476984245104501</v>
      </c>
      <c r="AF1187" s="1359">
        <f>(V1187/(1-$AA$1184))</f>
        <v>2.6314293478260868</v>
      </c>
      <c r="AG1187" s="1896">
        <v>4.78</v>
      </c>
      <c r="AH1187" s="1361">
        <f>((AF1187-V1187)/AF1187)*100%</f>
        <v>7.9999999999999988E-2</v>
      </c>
      <c r="AI1187" s="77">
        <f>AJ1187/$AJ$1190</f>
        <v>0.33896724559972025</v>
      </c>
      <c r="AJ1187" s="333">
        <f>[1]Статистика!D441</f>
        <v>2908</v>
      </c>
      <c r="AK1187" s="270">
        <f>Q1187*S1187*AJ1187</f>
        <v>-427.40220980179936</v>
      </c>
      <c r="AL1187" s="1808">
        <f>AK1187/$AK$1190</f>
        <v>0.29551107914024916</v>
      </c>
      <c r="AM1187" s="77">
        <f>AJ1187/$AJ$1226</f>
        <v>1.9379689978274488E-2</v>
      </c>
      <c r="AN1187" s="77">
        <f>AK1187/$AK$1226</f>
        <v>2.0786486887934781E-2</v>
      </c>
      <c r="AO1187" s="13"/>
      <c r="AP1187" s="13"/>
    </row>
    <row r="1188" spans="1:42" ht="15.75">
      <c r="A1188" s="187"/>
      <c r="B1188" s="657" t="s">
        <v>440</v>
      </c>
      <c r="C1188" s="925">
        <v>26</v>
      </c>
      <c r="D1188" s="926">
        <v>306</v>
      </c>
      <c r="E1188" s="926">
        <v>5</v>
      </c>
      <c r="F1188" s="926">
        <v>60</v>
      </c>
      <c r="G1188" s="433">
        <v>276</v>
      </c>
      <c r="H1188" s="453">
        <f>G1188*(1+$H$33)</f>
        <v>295.32</v>
      </c>
      <c r="I1188" s="453">
        <f>H1188-H1188*$J$1114</f>
        <v>162.42599999999999</v>
      </c>
      <c r="J1188" s="1567">
        <f>G1188-G1188*$J$1114</f>
        <v>151.80000000000001</v>
      </c>
      <c r="K1188" s="1568">
        <v>321</v>
      </c>
      <c r="L1188" s="929">
        <v>260</v>
      </c>
      <c r="M1188" s="1516">
        <f>L1188/D1188*100%</f>
        <v>0.84967320261437906</v>
      </c>
      <c r="N1188" s="1768">
        <f>K1188-(K1188*$O$33)</f>
        <v>160.5</v>
      </c>
      <c r="O1188" s="1521">
        <f>((N1188/J1188)-1)*100%</f>
        <v>5.7312252964426769E-2</v>
      </c>
      <c r="P1188" s="964">
        <f>((N1188/I1188)-1)*100%</f>
        <v>-1.1857707509881354E-2</v>
      </c>
      <c r="Q1188" s="1012">
        <v>3.7653462603878118</v>
      </c>
      <c r="R1188" s="496">
        <f>Q1188*$R$33</f>
        <v>177.09553066481996</v>
      </c>
      <c r="S1188" s="1778">
        <f>((J1188-R1188)/J1188)*100%</f>
        <v>-0.16663722440592851</v>
      </c>
      <c r="T1188" s="964">
        <f>((I1188-R1188)/I1188)*100%</f>
        <v>-9.0315162996195034E-2</v>
      </c>
      <c r="U1188" s="1358">
        <v>2.766</v>
      </c>
      <c r="V1188" s="1359">
        <f>U1188*$U$1108</f>
        <v>3.6372899999999997</v>
      </c>
      <c r="W1188" s="1359">
        <f>V1188*$R$33</f>
        <v>171.07266056999998</v>
      </c>
      <c r="X1188" s="1360">
        <f>(ROUND(W1188/(1-$AA$1184),0))</f>
        <v>186</v>
      </c>
      <c r="Y1188" s="1359">
        <f>Z1188*(1-$X$1109)</f>
        <v>179.14000000000001</v>
      </c>
      <c r="Z1188" s="1360">
        <f>ROUND(X1188/(1-$X$1108),0)</f>
        <v>338</v>
      </c>
      <c r="AA1188" s="1361">
        <f>((X1188-W1188)/X1188)*100%</f>
        <v>8.0254513064516225E-2</v>
      </c>
      <c r="AB1188" s="1361">
        <f>((Y1188-W1188)/Y1188)*100%</f>
        <v>4.5033713464329751E-2</v>
      </c>
      <c r="AC1188" s="1362">
        <f>((N1188/Y1188)-1)*100%</f>
        <v>-0.10405269621525071</v>
      </c>
      <c r="AD1188" s="1669">
        <f>((N1188*0.96-W1188)/(N1188*0.96))*100%</f>
        <v>-0.11028466102024923</v>
      </c>
      <c r="AE1188" s="261">
        <f>N1188/$R$33</f>
        <v>3.4124976080624241</v>
      </c>
      <c r="AF1188" s="1359">
        <f>(V1188/(1-$AA$1184))</f>
        <v>3.9535760869565211</v>
      </c>
      <c r="AG1188" s="1896">
        <v>7.19</v>
      </c>
      <c r="AH1188" s="1361">
        <f>((AF1188-V1188)/AF1188)*100%</f>
        <v>7.9999999999999918E-2</v>
      </c>
      <c r="AI1188" s="77">
        <f>AJ1188/$AJ$1190</f>
        <v>8.8471849865951746E-2</v>
      </c>
      <c r="AJ1188" s="333">
        <f>[1]Статистика!D442</f>
        <v>759</v>
      </c>
      <c r="AK1188" s="270">
        <f>Q1188*S1188*AJ1188</f>
        <v>-476.23215896652511</v>
      </c>
      <c r="AL1188" s="1808">
        <f>AK1188/$AK$1190</f>
        <v>0.32927269908770612</v>
      </c>
      <c r="AM1188" s="77">
        <f>AJ1188/$AJ$1226</f>
        <v>5.0581790555400052E-3</v>
      </c>
      <c r="AN1188" s="77">
        <f>AK1188/$AK$1226</f>
        <v>2.3161306378273364E-2</v>
      </c>
      <c r="AO1188" s="13"/>
      <c r="AP1188" s="13"/>
    </row>
    <row r="1189" spans="1:42" ht="16.5" thickBot="1">
      <c r="A1189" s="187"/>
      <c r="B1189" s="699" t="s">
        <v>441</v>
      </c>
      <c r="C1189" s="250">
        <v>32</v>
      </c>
      <c r="D1189" s="251">
        <v>430</v>
      </c>
      <c r="E1189" s="251">
        <v>5</v>
      </c>
      <c r="F1189" s="251">
        <v>40</v>
      </c>
      <c r="G1189" s="328">
        <v>548</v>
      </c>
      <c r="H1189" s="453">
        <f>G1189*(1+$H$33)</f>
        <v>586.36</v>
      </c>
      <c r="I1189" s="453">
        <f>H1189-H1189*$J$1114</f>
        <v>322.49799999999999</v>
      </c>
      <c r="J1189" s="1045">
        <f>G1189-G1189*$J$1114</f>
        <v>301.39999999999998</v>
      </c>
      <c r="K1189" s="1094">
        <v>717</v>
      </c>
      <c r="L1189" s="322">
        <v>597</v>
      </c>
      <c r="M1189" s="335">
        <f>L1189/D1189*100%</f>
        <v>1.3883720930232557</v>
      </c>
      <c r="N1189" s="1767">
        <f>K1189-(K1189*$O$33)</f>
        <v>358.5</v>
      </c>
      <c r="O1189" s="469">
        <f>((N1189/J1189)-1)*100%</f>
        <v>0.18944923689449245</v>
      </c>
      <c r="P1189" s="475">
        <f>((N1189/I1189)-1)*100%</f>
        <v>0.11163480083597421</v>
      </c>
      <c r="Q1189" s="331">
        <v>5.4376517754868274</v>
      </c>
      <c r="R1189" s="382">
        <f>Q1189*$R$33</f>
        <v>255.74907595647196</v>
      </c>
      <c r="S1189" s="918">
        <f>((J1189-R1189)/J1189)*100%</f>
        <v>0.15146291985244867</v>
      </c>
      <c r="T1189" s="919">
        <f>((I1189-R1189)/I1189)*100%</f>
        <v>0.20697469145088662</v>
      </c>
      <c r="U1189" s="261">
        <v>4.03</v>
      </c>
      <c r="V1189" s="262">
        <f>U1189*$U$1108</f>
        <v>5.2994500000000002</v>
      </c>
      <c r="W1189" s="262">
        <f>V1189*$R$33</f>
        <v>249.24903185000002</v>
      </c>
      <c r="X1189" s="263">
        <f>(ROUND(W1189/(1-$AB$1184),0))</f>
        <v>346</v>
      </c>
      <c r="Y1189" s="262">
        <f>Z1189*(1-$X$1109)</f>
        <v>333.37</v>
      </c>
      <c r="Z1189" s="263">
        <f>ROUND(X1189/(1-$X$1108),0)</f>
        <v>629</v>
      </c>
      <c r="AA1189" s="264">
        <f>((X1189-W1189)/X1189)*100%</f>
        <v>0.27962707557803462</v>
      </c>
      <c r="AB1189" s="264">
        <f>((Y1189-W1189)/Y1189)*100%</f>
        <v>0.25233514758376574</v>
      </c>
      <c r="AC1189" s="1675">
        <f>((N1189/Y1189)-1)*100%</f>
        <v>7.5381708012118631E-2</v>
      </c>
      <c r="AD1189" s="266">
        <f>((N1189*0.96-W1189)/(N1189*0.96))*100%</f>
        <v>0.27577570940841456</v>
      </c>
      <c r="AE1189" s="261">
        <f>N1189/$R$33</f>
        <v>7.6223077413730786</v>
      </c>
      <c r="AF1189" s="262">
        <f>(V1189/(1-$AB$1184))</f>
        <v>7.3603472222222228</v>
      </c>
      <c r="AG1189" s="1869">
        <v>13.38</v>
      </c>
      <c r="AH1189" s="264">
        <f>((AF1189-V1189)/AF1189)*100%</f>
        <v>0.28000000000000003</v>
      </c>
      <c r="AI1189" s="77">
        <f>AJ1189/$AJ$1190</f>
        <v>1.2006061312507286E-2</v>
      </c>
      <c r="AJ1189" s="333">
        <f>[1]Статистика!D443</f>
        <v>103</v>
      </c>
      <c r="AK1189" s="270">
        <f>Q1189*S1189*AJ1189</f>
        <v>84.831069350776914</v>
      </c>
      <c r="AL1189" s="1808">
        <f>AK1189/$AK$1190</f>
        <v>-5.865323171841931E-2</v>
      </c>
      <c r="AM1189" s="77">
        <f>AJ1189/$AJ$1226</f>
        <v>6.8641955562664112E-4</v>
      </c>
      <c r="AN1189" s="77">
        <f>AK1189/$AK$1226</f>
        <v>-4.125715474347055E-3</v>
      </c>
      <c r="AO1189" s="13"/>
      <c r="AP1189" s="13"/>
    </row>
    <row r="1190" spans="1:42" ht="15.75" thickBot="1">
      <c r="A1190" s="187"/>
      <c r="B1190" s="2"/>
      <c r="C1190" s="413"/>
      <c r="D1190" s="414"/>
      <c r="E1190" s="414"/>
      <c r="F1190" s="414"/>
      <c r="G1190" s="827"/>
      <c r="H1190" s="785"/>
      <c r="I1190" s="785"/>
      <c r="J1190" s="897"/>
      <c r="K1190" s="533"/>
      <c r="N1190" s="1756"/>
      <c r="P1190" s="886"/>
      <c r="Q1190" s="1091"/>
      <c r="R1190" s="1092"/>
      <c r="S1190" s="1092"/>
      <c r="T1190" s="365"/>
      <c r="U1190" s="366"/>
      <c r="V1190" s="366"/>
      <c r="W1190" s="366"/>
      <c r="X1190" s="366"/>
      <c r="Y1190" s="366"/>
      <c r="Z1190" s="366"/>
      <c r="AA1190" s="367"/>
      <c r="AB1190" s="367"/>
      <c r="AC1190" s="367"/>
      <c r="AD1190" s="367"/>
      <c r="AE1190" s="366"/>
      <c r="AF1190" s="366"/>
      <c r="AG1190" s="1872"/>
      <c r="AH1190" s="367"/>
      <c r="AI1190" s="512">
        <f>S1186*AI1186+S1187*AI1187+S1188*AI1188+S1189*AI1189</f>
        <v>-8.4170910227132939E-2</v>
      </c>
      <c r="AJ1190" s="513">
        <f>SUM(AJ1186:AJ1189)</f>
        <v>8579</v>
      </c>
      <c r="AK1190" s="514">
        <f>SUM(AK1186:AK1189)</f>
        <v>-1446.3153498179161</v>
      </c>
      <c r="AM1190" s="307">
        <f>SUM(AM1186:AM1189)</f>
        <v>5.7172751142921883E-2</v>
      </c>
      <c r="AN1190" s="307">
        <f>SUM(AN1186:AN1189)</f>
        <v>7.0340803967182383E-2</v>
      </c>
      <c r="AO1190" s="13"/>
      <c r="AP1190" s="13"/>
    </row>
    <row r="1191" spans="1:42">
      <c r="A1191" s="187"/>
      <c r="G1191" s="414"/>
      <c r="H1191" s="1809"/>
      <c r="I1191" s="1809"/>
      <c r="J1191" s="532"/>
      <c r="K1191" s="533"/>
      <c r="N1191" s="1756"/>
      <c r="AO1191" s="13"/>
      <c r="AP1191" s="13"/>
    </row>
    <row r="1192" spans="1:42">
      <c r="A1192" s="149" t="s">
        <v>147</v>
      </c>
      <c r="F1192" s="158" t="s">
        <v>1077</v>
      </c>
      <c r="G1192" s="158"/>
      <c r="H1192" s="159"/>
      <c r="I1192" s="160"/>
      <c r="J1192" s="541"/>
      <c r="K1192" s="533"/>
      <c r="N1192" s="1756"/>
      <c r="AO1192" s="13"/>
      <c r="AP1192" s="13"/>
    </row>
    <row r="1193" spans="1:42" ht="15.75" thickBot="1">
      <c r="A1193" s="187"/>
      <c r="B1193" s="157"/>
      <c r="C1193" s="157" t="s">
        <v>148</v>
      </c>
      <c r="J1193" s="532"/>
      <c r="K1193" s="1850" t="s">
        <v>1478</v>
      </c>
      <c r="L1193" s="1850"/>
      <c r="M1193" s="1850"/>
      <c r="N1193" s="898"/>
      <c r="O1193" s="899"/>
      <c r="P1193" s="459"/>
      <c r="U1193" s="309"/>
      <c r="V1193" s="309"/>
      <c r="W1193" s="309"/>
      <c r="X1193" s="309"/>
      <c r="Y1193" s="309"/>
      <c r="Z1193" s="309"/>
      <c r="AA1193" s="346">
        <v>0.08</v>
      </c>
      <c r="AB1193" s="628">
        <v>0.23</v>
      </c>
      <c r="AC1193" s="628">
        <v>0.12</v>
      </c>
      <c r="AD1193" s="585"/>
      <c r="AE1193" s="188"/>
      <c r="AF1193" s="188"/>
      <c r="AG1193" s="1866"/>
      <c r="AH1193" s="1851"/>
      <c r="AO1193" s="13"/>
      <c r="AP1193" s="13"/>
    </row>
    <row r="1194" spans="1:42" ht="60.75" thickBot="1">
      <c r="A1194" s="187"/>
      <c r="B1194" s="189" t="s">
        <v>10</v>
      </c>
      <c r="C1194" s="190" t="s">
        <v>11</v>
      </c>
      <c r="D1194" s="190" t="s">
        <v>12</v>
      </c>
      <c r="E1194" s="190" t="s">
        <v>13</v>
      </c>
      <c r="F1194" s="190" t="s">
        <v>14</v>
      </c>
      <c r="G1194" s="191" t="s">
        <v>15</v>
      </c>
      <c r="H1194" s="347" t="s">
        <v>1090</v>
      </c>
      <c r="I1194" s="347">
        <f>$C$21</f>
        <v>0.45</v>
      </c>
      <c r="J1194" s="873">
        <f>$C$21</f>
        <v>0.45</v>
      </c>
      <c r="K1194" s="601" t="s">
        <v>15</v>
      </c>
      <c r="L1194" s="315" t="s">
        <v>12</v>
      </c>
      <c r="M1194" s="316" t="s">
        <v>1091</v>
      </c>
      <c r="N1194" s="605" t="s">
        <v>993</v>
      </c>
      <c r="O1194" s="1153" t="s">
        <v>1092</v>
      </c>
      <c r="P1194" s="602" t="s">
        <v>1092</v>
      </c>
      <c r="Q1194" s="875" t="s">
        <v>1093</v>
      </c>
      <c r="R1194" s="876" t="s">
        <v>1094</v>
      </c>
      <c r="S1194" s="1126" t="s">
        <v>1095</v>
      </c>
      <c r="T1194" s="1376" t="s">
        <v>1095</v>
      </c>
      <c r="U1194" s="204" t="s">
        <v>1096</v>
      </c>
      <c r="V1194" s="205" t="s">
        <v>1093</v>
      </c>
      <c r="W1194" s="206" t="s">
        <v>1094</v>
      </c>
      <c r="X1194" s="207" t="s">
        <v>1097</v>
      </c>
      <c r="Y1194" s="208">
        <f>$X$1109</f>
        <v>0.47</v>
      </c>
      <c r="Z1194" s="207" t="s">
        <v>1098</v>
      </c>
      <c r="AA1194" s="209" t="s">
        <v>1099</v>
      </c>
      <c r="AB1194" s="209" t="s">
        <v>1100</v>
      </c>
      <c r="AC1194" s="210" t="s">
        <v>1092</v>
      </c>
      <c r="AD1194" s="211" t="s">
        <v>1101</v>
      </c>
      <c r="AE1194" s="212" t="s">
        <v>1102</v>
      </c>
      <c r="AF1194" s="208" t="s">
        <v>1103</v>
      </c>
      <c r="AG1194" s="1867" t="s">
        <v>1104</v>
      </c>
      <c r="AH1194" s="213" t="s">
        <v>1105</v>
      </c>
      <c r="AI1194" s="220" t="s">
        <v>1106</v>
      </c>
      <c r="AJ1194" s="483" t="s">
        <v>1107</v>
      </c>
      <c r="AK1194" s="484" t="s">
        <v>1108</v>
      </c>
      <c r="AL1194" s="221" t="s">
        <v>1109</v>
      </c>
      <c r="AM1194" s="221" t="s">
        <v>1175</v>
      </c>
      <c r="AN1194" s="221" t="s">
        <v>1176</v>
      </c>
      <c r="AO1194" s="13"/>
      <c r="AP1194" s="13"/>
    </row>
    <row r="1195" spans="1:42" ht="15.75">
      <c r="A1195" s="187"/>
      <c r="B1195" s="657" t="s">
        <v>442</v>
      </c>
      <c r="C1195" s="925" t="s">
        <v>376</v>
      </c>
      <c r="D1195" s="926">
        <v>105</v>
      </c>
      <c r="E1195" s="926">
        <v>10</v>
      </c>
      <c r="F1195" s="926">
        <v>150</v>
      </c>
      <c r="G1195" s="926">
        <v>92</v>
      </c>
      <c r="H1195" s="453">
        <f>G1195*(1+$H$33)</f>
        <v>98.440000000000012</v>
      </c>
      <c r="I1195" s="453">
        <f t="shared" ref="I1195:I1201" si="813">H1195-H1195*$J$1114</f>
        <v>54.142000000000003</v>
      </c>
      <c r="J1195" s="1567">
        <f>G1195-G1195*$J$1114</f>
        <v>50.6</v>
      </c>
      <c r="K1195" s="1568">
        <v>105</v>
      </c>
      <c r="L1195" s="929">
        <v>93</v>
      </c>
      <c r="M1195" s="1516">
        <f t="shared" ref="M1195:M1201" si="814">L1195/D1195*100%</f>
        <v>0.88571428571428568</v>
      </c>
      <c r="N1195" s="1768">
        <f>K1195-(K1195*$O$33)</f>
        <v>52.5</v>
      </c>
      <c r="O1195" s="1521">
        <f t="shared" ref="O1195:O1201" si="815">((N1195/J1195)-1)*100%</f>
        <v>3.7549407114624511E-2</v>
      </c>
      <c r="P1195" s="964">
        <f>((N1195/I1195)-1)*100%</f>
        <v>-3.0327656902220168E-2</v>
      </c>
      <c r="Q1195" s="1012">
        <v>1.2558298493862894</v>
      </c>
      <c r="R1195" s="496">
        <f t="shared" ref="R1195:R1200" si="816">Q1195*$R$33</f>
        <v>59.065445306185353</v>
      </c>
      <c r="S1195" s="1778">
        <f t="shared" ref="S1195:S1201" si="817">((J1195-R1195)/J1195)*100%</f>
        <v>-0.16730129063607413</v>
      </c>
      <c r="T1195" s="964">
        <f>((I1195-R1195)/I1195)*100%</f>
        <v>-9.0935785641190758E-2</v>
      </c>
      <c r="U1195" s="1358">
        <v>0.92500000000000004</v>
      </c>
      <c r="V1195" s="1359">
        <f t="shared" ref="V1195:V1201" si="818">U1195*$U$1108</f>
        <v>1.216375</v>
      </c>
      <c r="W1195" s="1359">
        <f t="shared" ref="W1195:W1201" si="819">V1195*$R$33</f>
        <v>57.209765375000003</v>
      </c>
      <c r="X1195" s="1360">
        <f>(ROUND(W1195/(1-$AA$1193),0))</f>
        <v>62</v>
      </c>
      <c r="Y1195" s="1359">
        <f t="shared" ref="Y1195:Y1201" si="820">Z1195*(1-$X$1109)</f>
        <v>59.89</v>
      </c>
      <c r="Z1195" s="1360">
        <f t="shared" ref="Z1195:Z1201" si="821">ROUND(X1195/(1-$X$1108),0)</f>
        <v>113</v>
      </c>
      <c r="AA1195" s="1361">
        <f t="shared" ref="AA1195:AA1201" si="822">((X1195-W1195)/X1195)*100%</f>
        <v>7.7261848790322524E-2</v>
      </c>
      <c r="AB1195" s="1361">
        <f t="shared" ref="AB1195:AB1201" si="823">((Y1195-W1195)/Y1195)*100%</f>
        <v>4.4752623559859692E-2</v>
      </c>
      <c r="AC1195" s="1362">
        <f t="shared" ref="AC1195:AC1201" si="824">((N1195/Y1195)-1)*100%</f>
        <v>-0.12339288695942563</v>
      </c>
      <c r="AD1195" s="1669">
        <f t="shared" ref="AD1195:AD1201" si="825">((N1195*0.96-W1195)/(N1195*0.96))*100%</f>
        <v>-0.13511439236111122</v>
      </c>
      <c r="AE1195" s="261">
        <f t="shared" ref="AE1195:AE1201" si="826">N1195/$R$33</f>
        <v>1.116237535347522</v>
      </c>
      <c r="AF1195" s="1359">
        <f>(V1195/(1-$AA$1193))</f>
        <v>1.3221467391304347</v>
      </c>
      <c r="AG1195" s="1896">
        <v>2.4</v>
      </c>
      <c r="AH1195" s="1361">
        <f t="shared" ref="AH1195:AH1201" si="827">((AF1195-V1195)/AF1195)*100%</f>
        <v>7.9999999999999946E-2</v>
      </c>
      <c r="AI1195" s="1395">
        <f>AJ1195/$AJ$1202</f>
        <v>0.9685985015425298</v>
      </c>
      <c r="AJ1195" s="563">
        <f>[1]Статистика!D433</f>
        <v>52746</v>
      </c>
      <c r="AK1195" s="1766">
        <f t="shared" ref="AK1195:AK1201" si="828">Q1195*S1195*AJ1195</f>
        <v>-11082.037698472644</v>
      </c>
      <c r="AL1195" s="1459">
        <f>AK1195/$AK$1202</f>
        <v>0.98054113717409563</v>
      </c>
      <c r="AM1195" s="1395">
        <f t="shared" ref="AM1195:AM1201" si="829">AJ1195/$AJ$1226</f>
        <v>0.35151345515614379</v>
      </c>
      <c r="AN1195" s="1395">
        <f t="shared" ref="AN1195:AN1201" si="830">AK1195/$AK$1226</f>
        <v>0.5389692098637594</v>
      </c>
      <c r="AO1195" s="13"/>
      <c r="AP1195" s="13"/>
    </row>
    <row r="1196" spans="1:42" ht="15.75">
      <c r="A1196" s="187"/>
      <c r="B1196" s="699" t="s">
        <v>443</v>
      </c>
      <c r="C1196" s="250" t="s">
        <v>378</v>
      </c>
      <c r="D1196" s="251">
        <v>134</v>
      </c>
      <c r="E1196" s="251">
        <v>10</v>
      </c>
      <c r="F1196" s="251">
        <v>120</v>
      </c>
      <c r="G1196" s="328">
        <v>124</v>
      </c>
      <c r="H1196" s="453">
        <f t="shared" ref="H1196:H1201" si="831">G1196*(1+$H$33)</f>
        <v>132.68</v>
      </c>
      <c r="I1196" s="453">
        <f t="shared" si="813"/>
        <v>72.974000000000004</v>
      </c>
      <c r="J1196" s="1045">
        <f>G1196-G1196*$J$1114</f>
        <v>68.199999999999989</v>
      </c>
      <c r="K1196" s="1094">
        <v>162</v>
      </c>
      <c r="L1196" s="322">
        <v>134</v>
      </c>
      <c r="M1196" s="323">
        <f t="shared" si="814"/>
        <v>1</v>
      </c>
      <c r="N1196" s="1767">
        <f t="shared" ref="N1196:N1201" si="832">K1196-(K1196*$O$33)</f>
        <v>81</v>
      </c>
      <c r="O1196" s="469">
        <f t="shared" si="815"/>
        <v>0.18768328445747828</v>
      </c>
      <c r="P1196" s="472">
        <f t="shared" ref="P1196:P1201" si="833">((N1196/I1196)-1)*100%</f>
        <v>0.10998437799764305</v>
      </c>
      <c r="Q1196" s="331">
        <v>1.5157894736842106</v>
      </c>
      <c r="R1196" s="382">
        <f t="shared" si="816"/>
        <v>71.292126315789474</v>
      </c>
      <c r="S1196" s="918">
        <f t="shared" si="817"/>
        <v>-4.5339095539435277E-2</v>
      </c>
      <c r="T1196" s="696">
        <f t="shared" ref="T1196:T1201" si="834">((I1196-R1196)/I1196)*100%</f>
        <v>2.304757426221023E-2</v>
      </c>
      <c r="U1196" s="1358">
        <v>1.1359999999999999</v>
      </c>
      <c r="V1196" s="1359">
        <f t="shared" si="818"/>
        <v>1.4938399999999998</v>
      </c>
      <c r="W1196" s="1359">
        <f t="shared" si="819"/>
        <v>70.259776719999991</v>
      </c>
      <c r="X1196" s="1360">
        <f>(ROUND(W1196/(1-$AA$1193),0))</f>
        <v>76</v>
      </c>
      <c r="Y1196" s="1359">
        <f t="shared" si="820"/>
        <v>73.14</v>
      </c>
      <c r="Z1196" s="1360">
        <f t="shared" si="821"/>
        <v>138</v>
      </c>
      <c r="AA1196" s="1361">
        <f t="shared" si="822"/>
        <v>7.5529253684210651E-2</v>
      </c>
      <c r="AB1196" s="1361">
        <f t="shared" si="823"/>
        <v>3.9379590921520505E-2</v>
      </c>
      <c r="AC1196" s="1696">
        <f t="shared" si="824"/>
        <v>0.10746513535684987</v>
      </c>
      <c r="AD1196" s="1669">
        <f t="shared" si="825"/>
        <v>9.6453488683127586E-2</v>
      </c>
      <c r="AE1196" s="261">
        <f t="shared" si="826"/>
        <v>1.7221950545361766</v>
      </c>
      <c r="AF1196" s="1359">
        <f>(V1196/(1-$AA$1193))</f>
        <v>1.6237391304347824</v>
      </c>
      <c r="AG1196" s="1896">
        <v>2.95</v>
      </c>
      <c r="AH1196" s="1361">
        <f t="shared" si="827"/>
        <v>7.999999999999996E-2</v>
      </c>
      <c r="AI1196" s="77">
        <f t="shared" ref="AI1196:AI1201" si="835">AJ1196/$AJ$1202</f>
        <v>7.7493756427207284E-3</v>
      </c>
      <c r="AJ1196" s="333">
        <f>[1]Статистика!D434</f>
        <v>422</v>
      </c>
      <c r="AK1196" s="270">
        <f t="shared" si="828"/>
        <v>-29.001749028846348</v>
      </c>
      <c r="AL1196" s="506">
        <f t="shared" ref="AL1196:AL1201" si="836">AK1196/$AK$1202</f>
        <v>2.5660811437865833E-3</v>
      </c>
      <c r="AM1196" s="77">
        <f t="shared" si="829"/>
        <v>2.8123208978101215E-3</v>
      </c>
      <c r="AN1196" s="77">
        <f t="shared" si="830"/>
        <v>1.4104851638339654E-3</v>
      </c>
      <c r="AO1196" s="13"/>
      <c r="AP1196" s="13"/>
    </row>
    <row r="1197" spans="1:42" ht="15.75">
      <c r="A1197" s="271"/>
      <c r="B1197" s="657" t="s">
        <v>444</v>
      </c>
      <c r="C1197" s="925" t="s">
        <v>380</v>
      </c>
      <c r="D1197" s="926">
        <v>144</v>
      </c>
      <c r="E1197" s="926">
        <v>10</v>
      </c>
      <c r="F1197" s="926">
        <v>120</v>
      </c>
      <c r="G1197" s="433">
        <v>134</v>
      </c>
      <c r="H1197" s="453">
        <f t="shared" si="831"/>
        <v>143.38</v>
      </c>
      <c r="I1197" s="453">
        <f t="shared" si="813"/>
        <v>78.858999999999995</v>
      </c>
      <c r="J1197" s="1567">
        <f>G1197-G1197*$J$1114</f>
        <v>73.699999999999989</v>
      </c>
      <c r="K1197" s="1568">
        <v>166</v>
      </c>
      <c r="L1197" s="929">
        <v>144</v>
      </c>
      <c r="M1197" s="1516">
        <f t="shared" si="814"/>
        <v>1</v>
      </c>
      <c r="N1197" s="1768">
        <f t="shared" si="832"/>
        <v>83</v>
      </c>
      <c r="O1197" s="1510">
        <f t="shared" si="815"/>
        <v>0.12618724559023087</v>
      </c>
      <c r="P1197" s="472">
        <f t="shared" si="833"/>
        <v>5.2511444476851077E-2</v>
      </c>
      <c r="Q1197" s="1012">
        <v>1.7529577464788733</v>
      </c>
      <c r="R1197" s="496">
        <f t="shared" si="816"/>
        <v>82.44686169014085</v>
      </c>
      <c r="S1197" s="1778">
        <f t="shared" si="817"/>
        <v>-0.11868197679974032</v>
      </c>
      <c r="T1197" s="696">
        <f t="shared" si="834"/>
        <v>-4.5497174579196477E-2</v>
      </c>
      <c r="U1197" s="1358">
        <v>1.319</v>
      </c>
      <c r="V1197" s="1359">
        <f t="shared" si="818"/>
        <v>1.7344849999999998</v>
      </c>
      <c r="W1197" s="1359">
        <f t="shared" si="819"/>
        <v>81.578033004999995</v>
      </c>
      <c r="X1197" s="1360">
        <f>(ROUND(W1197/(1-$AA$1193),0))</f>
        <v>89</v>
      </c>
      <c r="Y1197" s="1359">
        <f t="shared" si="820"/>
        <v>85.86</v>
      </c>
      <c r="Z1197" s="1360">
        <f t="shared" si="821"/>
        <v>162</v>
      </c>
      <c r="AA1197" s="1361">
        <f t="shared" si="822"/>
        <v>8.3392887584269729E-2</v>
      </c>
      <c r="AB1197" s="1361">
        <f t="shared" si="823"/>
        <v>4.9871500058234389E-2</v>
      </c>
      <c r="AC1197" s="1362">
        <f t="shared" si="824"/>
        <v>-3.3310039599347752E-2</v>
      </c>
      <c r="AD1197" s="1669">
        <f t="shared" si="825"/>
        <v>-2.3820695343875532E-2</v>
      </c>
      <c r="AE1197" s="261">
        <f t="shared" si="826"/>
        <v>1.7647183892160823</v>
      </c>
      <c r="AF1197" s="1359">
        <f>(V1197/(1-$AA$1193))</f>
        <v>1.8853097826086953</v>
      </c>
      <c r="AG1197" s="1896">
        <v>3.43</v>
      </c>
      <c r="AH1197" s="1361">
        <f t="shared" si="827"/>
        <v>7.9999999999999918E-2</v>
      </c>
      <c r="AI1197" s="77">
        <f t="shared" si="835"/>
        <v>5.5090348171000442E-3</v>
      </c>
      <c r="AJ1197" s="333">
        <f>[1]Статистика!D435</f>
        <v>300</v>
      </c>
      <c r="AK1197" s="270">
        <f t="shared" si="828"/>
        <v>-62.413347179559217</v>
      </c>
      <c r="AL1197" s="506">
        <f t="shared" si="836"/>
        <v>5.5223467094613126E-3</v>
      </c>
      <c r="AM1197" s="77">
        <f t="shared" si="829"/>
        <v>1.9992802591067217E-3</v>
      </c>
      <c r="AN1197" s="77">
        <f t="shared" si="830"/>
        <v>3.0354410740685107E-3</v>
      </c>
      <c r="AO1197" s="13"/>
      <c r="AP1197" s="13"/>
    </row>
    <row r="1198" spans="1:42" ht="15.75">
      <c r="A1198" s="187"/>
      <c r="B1198" s="657" t="s">
        <v>445</v>
      </c>
      <c r="C1198" s="925" t="s">
        <v>382</v>
      </c>
      <c r="D1198" s="926">
        <v>168</v>
      </c>
      <c r="E1198" s="926">
        <v>10</v>
      </c>
      <c r="F1198" s="926">
        <v>100</v>
      </c>
      <c r="G1198" s="433">
        <v>150</v>
      </c>
      <c r="H1198" s="453">
        <f t="shared" si="831"/>
        <v>160.5</v>
      </c>
      <c r="I1198" s="453">
        <f t="shared" si="813"/>
        <v>88.274999999999991</v>
      </c>
      <c r="J1198" s="1567">
        <f>G1198-G1198*$J$1114</f>
        <v>82.5</v>
      </c>
      <c r="K1198" s="1568">
        <v>194</v>
      </c>
      <c r="L1198" s="929">
        <v>168</v>
      </c>
      <c r="M1198" s="1516">
        <f t="shared" si="814"/>
        <v>1</v>
      </c>
      <c r="N1198" s="1768">
        <f t="shared" si="832"/>
        <v>97</v>
      </c>
      <c r="O1198" s="1510">
        <f t="shared" si="815"/>
        <v>0.17575757575757578</v>
      </c>
      <c r="P1198" s="472">
        <f t="shared" si="833"/>
        <v>9.8838855848201845E-2</v>
      </c>
      <c r="Q1198" s="1010">
        <v>1.8590789473684211</v>
      </c>
      <c r="R1198" s="496">
        <f t="shared" si="816"/>
        <v>87.438060131578951</v>
      </c>
      <c r="S1198" s="1778">
        <f t="shared" si="817"/>
        <v>-5.9855274322169097E-2</v>
      </c>
      <c r="T1198" s="696">
        <f t="shared" si="834"/>
        <v>9.4810520353558886E-3</v>
      </c>
      <c r="U1198" s="261">
        <v>1.42</v>
      </c>
      <c r="V1198" s="262">
        <f t="shared" si="818"/>
        <v>1.8672999999999997</v>
      </c>
      <c r="W1198" s="262">
        <f t="shared" si="819"/>
        <v>87.824720899999988</v>
      </c>
      <c r="X1198" s="1360">
        <f>(ROUND(W1198/(1-$AC$1193),0))</f>
        <v>100</v>
      </c>
      <c r="Y1198" s="262">
        <f t="shared" si="820"/>
        <v>96.460000000000008</v>
      </c>
      <c r="Z1198" s="263">
        <f t="shared" si="821"/>
        <v>182</v>
      </c>
      <c r="AA1198" s="264">
        <f t="shared" si="822"/>
        <v>0.12175279100000011</v>
      </c>
      <c r="AB1198" s="264">
        <f t="shared" si="823"/>
        <v>8.9521865021770883E-2</v>
      </c>
      <c r="AC1198" s="1675">
        <f t="shared" si="824"/>
        <v>5.5981754094960312E-3</v>
      </c>
      <c r="AD1198" s="266">
        <f t="shared" si="825"/>
        <v>5.6865110609965665E-2</v>
      </c>
      <c r="AE1198" s="261">
        <f t="shared" si="826"/>
        <v>2.0623817319754214</v>
      </c>
      <c r="AF1198" s="1359">
        <f>(V1198/(1-$AC$1193))</f>
        <v>2.1219318181818179</v>
      </c>
      <c r="AG1198" s="1869">
        <v>3.86</v>
      </c>
      <c r="AH1198" s="264">
        <f t="shared" si="827"/>
        <v>0.12</v>
      </c>
      <c r="AI1198" s="77">
        <f t="shared" si="835"/>
        <v>9.1082708976054066E-3</v>
      </c>
      <c r="AJ1198" s="333">
        <f>[1]Статистика!D436</f>
        <v>496</v>
      </c>
      <c r="AK1198" s="270">
        <f t="shared" si="828"/>
        <v>-55.192737469127877</v>
      </c>
      <c r="AL1198" s="506">
        <f t="shared" si="836"/>
        <v>4.8834655714254382E-3</v>
      </c>
      <c r="AM1198" s="77">
        <f t="shared" si="829"/>
        <v>3.3054766950564463E-3</v>
      </c>
      <c r="AN1198" s="77">
        <f t="shared" si="830"/>
        <v>2.6842704305232237E-3</v>
      </c>
      <c r="AO1198" s="13"/>
      <c r="AP1198" s="13"/>
    </row>
    <row r="1199" spans="1:42" ht="15.75">
      <c r="A1199" s="187"/>
      <c r="B1199" s="657" t="s">
        <v>446</v>
      </c>
      <c r="C1199" s="925" t="s">
        <v>384</v>
      </c>
      <c r="D1199" s="926">
        <v>210</v>
      </c>
      <c r="E1199" s="926">
        <v>5</v>
      </c>
      <c r="F1199" s="926">
        <v>50</v>
      </c>
      <c r="G1199" s="433">
        <v>216</v>
      </c>
      <c r="H1199" s="453">
        <f t="shared" si="831"/>
        <v>231.12</v>
      </c>
      <c r="I1199" s="453">
        <f t="shared" si="813"/>
        <v>127.116</v>
      </c>
      <c r="J1199" s="1567">
        <f>G1199-G1199*$J$1194</f>
        <v>118.8</v>
      </c>
      <c r="K1199" s="1568">
        <v>250</v>
      </c>
      <c r="L1199" s="929">
        <v>206</v>
      </c>
      <c r="M1199" s="1516">
        <f t="shared" si="814"/>
        <v>0.98095238095238091</v>
      </c>
      <c r="N1199" s="1768">
        <f t="shared" si="832"/>
        <v>125</v>
      </c>
      <c r="O1199" s="1510">
        <f t="shared" si="815"/>
        <v>5.2188552188552118E-2</v>
      </c>
      <c r="P1199" s="472">
        <f t="shared" si="833"/>
        <v>-1.6646212907895142E-2</v>
      </c>
      <c r="Q1199" s="1010">
        <v>2.5739707078925953</v>
      </c>
      <c r="R1199" s="496">
        <f t="shared" si="816"/>
        <v>121.06156430431244</v>
      </c>
      <c r="S1199" s="1778">
        <f t="shared" si="817"/>
        <v>-1.9036736568286562E-2</v>
      </c>
      <c r="T1199" s="696">
        <f t="shared" si="834"/>
        <v>4.7629218160479866E-2</v>
      </c>
      <c r="U1199" s="261">
        <v>1.923</v>
      </c>
      <c r="V1199" s="262">
        <f t="shared" si="818"/>
        <v>2.5287449999999998</v>
      </c>
      <c r="W1199" s="262">
        <f t="shared" si="819"/>
        <v>118.93446358499999</v>
      </c>
      <c r="X1199" s="1360">
        <f>(ROUND(W1199/(1-$AA$1193),0))</f>
        <v>129</v>
      </c>
      <c r="Y1199" s="262">
        <f t="shared" si="820"/>
        <v>124.55000000000001</v>
      </c>
      <c r="Z1199" s="263">
        <f t="shared" si="821"/>
        <v>235</v>
      </c>
      <c r="AA1199" s="264">
        <f t="shared" si="822"/>
        <v>7.8027414069767528E-2</v>
      </c>
      <c r="AB1199" s="264">
        <f t="shared" si="823"/>
        <v>4.508660309112824E-2</v>
      </c>
      <c r="AC1199" s="1675">
        <f t="shared" si="824"/>
        <v>3.6130068245683322E-3</v>
      </c>
      <c r="AD1199" s="266">
        <f t="shared" si="825"/>
        <v>8.8794701250000923E-3</v>
      </c>
      <c r="AE1199" s="261">
        <f t="shared" si="826"/>
        <v>2.6577084174940997</v>
      </c>
      <c r="AF1199" s="1359">
        <f>(V1199/(1-$AA$1193))</f>
        <v>2.7486358695652169</v>
      </c>
      <c r="AG1199" s="1869">
        <v>5</v>
      </c>
      <c r="AH1199" s="264">
        <f t="shared" si="827"/>
        <v>7.9999999999999905E-2</v>
      </c>
      <c r="AI1199" s="77">
        <f t="shared" si="835"/>
        <v>5.3988541207580431E-3</v>
      </c>
      <c r="AJ1199" s="333">
        <v>294</v>
      </c>
      <c r="AK1199" s="270">
        <f t="shared" si="828"/>
        <v>-14.406000676387402</v>
      </c>
      <c r="AL1199" s="506">
        <f t="shared" si="836"/>
        <v>1.2746461138011225E-3</v>
      </c>
      <c r="AM1199" s="77">
        <f t="shared" si="829"/>
        <v>1.9592946539245871E-3</v>
      </c>
      <c r="AN1199" s="77">
        <f t="shared" si="830"/>
        <v>7.0062844154729874E-4</v>
      </c>
      <c r="AO1199" s="13"/>
      <c r="AP1199" s="13"/>
    </row>
    <row r="1200" spans="1:42" ht="15.75">
      <c r="A1200" s="187"/>
      <c r="B1200" s="657" t="s">
        <v>447</v>
      </c>
      <c r="C1200" s="925" t="s">
        <v>386</v>
      </c>
      <c r="D1200" s="926">
        <v>275</v>
      </c>
      <c r="E1200" s="926">
        <v>5</v>
      </c>
      <c r="F1200" s="657">
        <v>50</v>
      </c>
      <c r="G1200" s="433">
        <v>250</v>
      </c>
      <c r="H1200" s="453">
        <f t="shared" si="831"/>
        <v>267.5</v>
      </c>
      <c r="I1200" s="453">
        <f t="shared" si="813"/>
        <v>147.125</v>
      </c>
      <c r="J1200" s="1567">
        <f>G1200-G1200*$J$1194</f>
        <v>137.5</v>
      </c>
      <c r="K1200" s="1568">
        <v>309</v>
      </c>
      <c r="L1200" s="929">
        <v>249</v>
      </c>
      <c r="M1200" s="1516">
        <f t="shared" si="814"/>
        <v>0.9054545454545454</v>
      </c>
      <c r="N1200" s="1768">
        <f t="shared" si="832"/>
        <v>154.5</v>
      </c>
      <c r="O1200" s="1510">
        <f t="shared" si="815"/>
        <v>0.12363636363636354</v>
      </c>
      <c r="P1200" s="472">
        <f t="shared" si="833"/>
        <v>5.0127442650807152E-2</v>
      </c>
      <c r="Q1200" s="1010">
        <v>3.3078052805280524</v>
      </c>
      <c r="R1200" s="496">
        <f t="shared" si="816"/>
        <v>155.57600575907588</v>
      </c>
      <c r="S1200" s="1778">
        <f t="shared" si="817"/>
        <v>-0.13146186006600644</v>
      </c>
      <c r="T1200" s="964">
        <f t="shared" si="834"/>
        <v>-5.7440990715893855E-2</v>
      </c>
      <c r="U1200" s="261">
        <v>2.4729999999999999</v>
      </c>
      <c r="V1200" s="262">
        <f t="shared" si="818"/>
        <v>3.2519949999999995</v>
      </c>
      <c r="W1200" s="262">
        <f t="shared" si="819"/>
        <v>152.95108083499997</v>
      </c>
      <c r="X1200" s="1360">
        <f>(ROUND(W1200/(1-$AA$1193),0))</f>
        <v>166</v>
      </c>
      <c r="Y1200" s="262">
        <f t="shared" si="820"/>
        <v>160.06</v>
      </c>
      <c r="Z1200" s="263">
        <f t="shared" si="821"/>
        <v>302</v>
      </c>
      <c r="AA1200" s="264">
        <f t="shared" si="822"/>
        <v>7.8607946777108612E-2</v>
      </c>
      <c r="AB1200" s="264">
        <f t="shared" si="823"/>
        <v>4.4414089497688561E-2</v>
      </c>
      <c r="AC1200" s="1590">
        <f t="shared" si="824"/>
        <v>-3.4736973634886925E-2</v>
      </c>
      <c r="AD1200" s="266">
        <f t="shared" si="825"/>
        <v>-3.1223576287756051E-2</v>
      </c>
      <c r="AE1200" s="261">
        <f t="shared" si="826"/>
        <v>3.2849276040227076</v>
      </c>
      <c r="AF1200" s="1359">
        <f>(V1200/(1-$AA$1193))</f>
        <v>3.5347771739130427</v>
      </c>
      <c r="AG1200" s="1869">
        <v>6.43</v>
      </c>
      <c r="AH1200" s="264">
        <f t="shared" si="827"/>
        <v>7.9999999999999932E-2</v>
      </c>
      <c r="AI1200" s="77">
        <f t="shared" si="835"/>
        <v>2.9014250036726898E-3</v>
      </c>
      <c r="AJ1200" s="333">
        <v>158</v>
      </c>
      <c r="AK1200" s="270">
        <f t="shared" si="828"/>
        <v>-68.706337116471417</v>
      </c>
      <c r="AL1200" s="506">
        <f t="shared" si="836"/>
        <v>6.0791518455614608E-3</v>
      </c>
      <c r="AM1200" s="77">
        <f t="shared" si="829"/>
        <v>1.0529542697962067E-3</v>
      </c>
      <c r="AN1200" s="77">
        <f t="shared" si="830"/>
        <v>3.3414974065104782E-3</v>
      </c>
      <c r="AO1200" s="13"/>
      <c r="AP1200" s="13"/>
    </row>
    <row r="1201" spans="1:42" ht="16.5" thickBot="1">
      <c r="A1201" s="187"/>
      <c r="B1201" s="699" t="s">
        <v>448</v>
      </c>
      <c r="C1201" s="250" t="s">
        <v>388</v>
      </c>
      <c r="D1201" s="251">
        <v>464</v>
      </c>
      <c r="E1201" s="251">
        <v>5</v>
      </c>
      <c r="F1201" s="699">
        <v>40</v>
      </c>
      <c r="G1201" s="328">
        <v>430</v>
      </c>
      <c r="H1201" s="453">
        <f t="shared" si="831"/>
        <v>460.1</v>
      </c>
      <c r="I1201" s="453">
        <f t="shared" si="813"/>
        <v>253.05500000000001</v>
      </c>
      <c r="J1201" s="1045">
        <f>G1201-G1201*$J$1194</f>
        <v>236.5</v>
      </c>
      <c r="K1201" s="1094">
        <v>565</v>
      </c>
      <c r="L1201" s="322">
        <v>464</v>
      </c>
      <c r="M1201" s="323">
        <f t="shared" si="814"/>
        <v>1</v>
      </c>
      <c r="N1201" s="1767">
        <f t="shared" si="832"/>
        <v>282.5</v>
      </c>
      <c r="O1201" s="469">
        <f t="shared" si="815"/>
        <v>0.19450317124735728</v>
      </c>
      <c r="P1201" s="475">
        <f t="shared" si="833"/>
        <v>0.11635810396949275</v>
      </c>
      <c r="Q1201" s="331">
        <v>4.7702068965517235</v>
      </c>
      <c r="R1201" s="382">
        <f>Q1201*$R$33</f>
        <v>224.3571409655172</v>
      </c>
      <c r="S1201" s="918">
        <f t="shared" si="817"/>
        <v>5.1344012830794067E-2</v>
      </c>
      <c r="T1201" s="919">
        <f t="shared" si="834"/>
        <v>0.11340561946803186</v>
      </c>
      <c r="U1201" s="1358">
        <v>3.4809999999999999</v>
      </c>
      <c r="V1201" s="262">
        <f t="shared" si="818"/>
        <v>4.577515</v>
      </c>
      <c r="W1201" s="262">
        <f t="shared" si="819"/>
        <v>215.294262995</v>
      </c>
      <c r="X1201" s="1360">
        <f>(ROUND(W1201/(1-$AB$1193),0))</f>
        <v>280</v>
      </c>
      <c r="Y1201" s="262">
        <f t="shared" si="820"/>
        <v>269.77000000000004</v>
      </c>
      <c r="Z1201" s="263">
        <f t="shared" si="821"/>
        <v>509</v>
      </c>
      <c r="AA1201" s="264">
        <f t="shared" si="822"/>
        <v>0.23109191787500002</v>
      </c>
      <c r="AB1201" s="264">
        <f t="shared" si="823"/>
        <v>0.20193400676502218</v>
      </c>
      <c r="AC1201" s="1675">
        <f t="shared" si="824"/>
        <v>4.7188345627756867E-2</v>
      </c>
      <c r="AD1201" s="266">
        <f t="shared" si="825"/>
        <v>0.20614209810103243</v>
      </c>
      <c r="AE1201" s="261">
        <f t="shared" si="826"/>
        <v>6.0064210235366655</v>
      </c>
      <c r="AF1201" s="1359">
        <f>(V1201/(1-$AB$1193))</f>
        <v>5.944824675324675</v>
      </c>
      <c r="AG1201" s="1869">
        <v>10.81</v>
      </c>
      <c r="AH1201" s="264">
        <f t="shared" si="827"/>
        <v>0.22999999999999995</v>
      </c>
      <c r="AI1201" s="77">
        <f t="shared" si="835"/>
        <v>7.345379756133392E-4</v>
      </c>
      <c r="AJ1201" s="333">
        <v>40</v>
      </c>
      <c r="AK1201" s="270">
        <f t="shared" si="828"/>
        <v>9.7968625640837619</v>
      </c>
      <c r="AL1201" s="506">
        <f t="shared" si="836"/>
        <v>-8.6682855813141418E-4</v>
      </c>
      <c r="AM1201" s="77">
        <f t="shared" si="829"/>
        <v>2.6657070121422952E-4</v>
      </c>
      <c r="AN1201" s="77">
        <f t="shared" si="830"/>
        <v>-4.7646537748520756E-4</v>
      </c>
      <c r="AO1201" s="13"/>
      <c r="AP1201" s="13"/>
    </row>
    <row r="1202" spans="1:42" ht="15.75" thickBot="1">
      <c r="J1202" s="532"/>
      <c r="K1202" s="533"/>
      <c r="N1202" s="1756"/>
      <c r="P1202" s="886"/>
      <c r="Q1202" s="1091"/>
      <c r="R1202" s="1092"/>
      <c r="S1202" s="1092"/>
      <c r="T1202" s="1810"/>
      <c r="U1202" s="1811"/>
      <c r="V1202" s="1811"/>
      <c r="W1202" s="1811"/>
      <c r="X1202" s="1811"/>
      <c r="Y1202" s="1811"/>
      <c r="Z1202" s="1811"/>
      <c r="AA1202" s="1252"/>
      <c r="AB1202" s="1252"/>
      <c r="AC1202" s="1252"/>
      <c r="AD1202" s="1252"/>
      <c r="AE1202" s="1811"/>
      <c r="AF1202" s="1811"/>
      <c r="AG1202" s="1903"/>
      <c r="AH1202" s="1252"/>
      <c r="AI1202" s="512">
        <f>S1195*AI1195+S1196*AI1196+S1197*AI1197+S1198*AI1198+S1199*AI1199+S1200*AI1200+S1201*AI1201</f>
        <v>-0.16404461945864546</v>
      </c>
      <c r="AJ1202" s="513">
        <f>SUM(AJ1195:AJ1201)</f>
        <v>54456</v>
      </c>
      <c r="AK1202" s="514">
        <f>SUM(AK1195:AK1201)</f>
        <v>-11301.961007378952</v>
      </c>
      <c r="AM1202" s="307">
        <f>SUM(AM1195:AM1201)</f>
        <v>0.36290935263305207</v>
      </c>
      <c r="AN1202" s="307">
        <f>SUM(AN1195:AN1201)</f>
        <v>0.54966506700275763</v>
      </c>
      <c r="AO1202" s="13"/>
      <c r="AP1202" s="13"/>
    </row>
    <row r="1203" spans="1:42">
      <c r="J1203" s="532"/>
      <c r="K1203" s="533"/>
      <c r="N1203" s="1756"/>
      <c r="AO1203" s="13"/>
      <c r="AP1203" s="13"/>
    </row>
    <row r="1204" spans="1:42">
      <c r="J1204" s="532"/>
      <c r="K1204" s="533"/>
      <c r="N1204" s="1756"/>
      <c r="R1204" s="147"/>
      <c r="AO1204" s="13"/>
      <c r="AP1204" s="13"/>
    </row>
    <row r="1205" spans="1:42">
      <c r="J1205" s="532"/>
      <c r="K1205" s="533"/>
      <c r="N1205" s="1756"/>
      <c r="AO1205" s="13"/>
      <c r="AP1205" s="13"/>
    </row>
    <row r="1206" spans="1:42" ht="15.75" thickBot="1">
      <c r="A1206" s="149" t="s">
        <v>149</v>
      </c>
      <c r="B1206" s="157"/>
      <c r="C1206" s="157" t="s">
        <v>150</v>
      </c>
      <c r="J1206" s="532"/>
      <c r="K1206" s="1850" t="s">
        <v>1479</v>
      </c>
      <c r="L1206" s="1850"/>
      <c r="M1206" s="1850"/>
      <c r="N1206" s="898"/>
      <c r="O1206" s="899"/>
      <c r="P1206" s="459"/>
      <c r="U1206" s="309"/>
      <c r="V1206" s="309"/>
      <c r="W1206" s="309"/>
      <c r="X1206" s="309"/>
      <c r="Y1206" s="309"/>
      <c r="Z1206" s="309"/>
      <c r="AA1206" s="346">
        <v>0.1</v>
      </c>
      <c r="AB1206" s="628">
        <v>0.18</v>
      </c>
      <c r="AC1206" s="628">
        <v>0.08</v>
      </c>
      <c r="AD1206" s="585"/>
      <c r="AE1206" s="188"/>
      <c r="AF1206" s="188"/>
      <c r="AG1206" s="1866"/>
      <c r="AH1206" s="1851"/>
      <c r="AO1206" s="13"/>
      <c r="AP1206" s="13"/>
    </row>
    <row r="1207" spans="1:42" ht="60.75" thickBot="1">
      <c r="A1207" s="187"/>
      <c r="B1207" s="369" t="s">
        <v>10</v>
      </c>
      <c r="C1207" s="370" t="s">
        <v>11</v>
      </c>
      <c r="D1207" s="370" t="s">
        <v>12</v>
      </c>
      <c r="E1207" s="370" t="s">
        <v>13</v>
      </c>
      <c r="F1207" s="1433" t="s">
        <v>14</v>
      </c>
      <c r="G1207" s="1812" t="s">
        <v>15</v>
      </c>
      <c r="H1207" s="192" t="s">
        <v>1090</v>
      </c>
      <c r="I1207" s="192">
        <f>$C$21</f>
        <v>0.45</v>
      </c>
      <c r="J1207" s="684">
        <f>$C$21</f>
        <v>0.45</v>
      </c>
      <c r="K1207" s="548" t="s">
        <v>15</v>
      </c>
      <c r="L1207" s="423" t="s">
        <v>12</v>
      </c>
      <c r="M1207" s="196" t="s">
        <v>1091</v>
      </c>
      <c r="N1207" s="549" t="s">
        <v>993</v>
      </c>
      <c r="O1207" s="424" t="s">
        <v>1092</v>
      </c>
      <c r="P1207" s="772" t="s">
        <v>1092</v>
      </c>
      <c r="Q1207" s="200" t="s">
        <v>1093</v>
      </c>
      <c r="R1207" s="201" t="s">
        <v>1094</v>
      </c>
      <c r="S1207" s="202" t="s">
        <v>1095</v>
      </c>
      <c r="T1207" s="1117" t="s">
        <v>1095</v>
      </c>
      <c r="U1207" s="204" t="s">
        <v>1096</v>
      </c>
      <c r="V1207" s="205" t="s">
        <v>1093</v>
      </c>
      <c r="W1207" s="206" t="s">
        <v>1094</v>
      </c>
      <c r="X1207" s="207" t="s">
        <v>1097</v>
      </c>
      <c r="Y1207" s="208">
        <f>$X$1109</f>
        <v>0.47</v>
      </c>
      <c r="Z1207" s="207" t="s">
        <v>1098</v>
      </c>
      <c r="AA1207" s="209" t="s">
        <v>1099</v>
      </c>
      <c r="AB1207" s="209" t="s">
        <v>1100</v>
      </c>
      <c r="AC1207" s="210" t="s">
        <v>1092</v>
      </c>
      <c r="AD1207" s="211" t="s">
        <v>1101</v>
      </c>
      <c r="AE1207" s="212" t="s">
        <v>1102</v>
      </c>
      <c r="AF1207" s="208" t="s">
        <v>1103</v>
      </c>
      <c r="AG1207" s="1867" t="s">
        <v>1104</v>
      </c>
      <c r="AH1207" s="213" t="s">
        <v>1105</v>
      </c>
      <c r="AI1207" s="1221" t="s">
        <v>1106</v>
      </c>
      <c r="AJ1207" s="483" t="s">
        <v>1107</v>
      </c>
      <c r="AK1207" s="484" t="s">
        <v>1108</v>
      </c>
      <c r="AL1207" s="221" t="s">
        <v>1109</v>
      </c>
      <c r="AM1207" s="221" t="s">
        <v>1175</v>
      </c>
      <c r="AN1207" s="221" t="s">
        <v>1176</v>
      </c>
      <c r="AO1207" s="13"/>
      <c r="AP1207" s="13"/>
    </row>
    <row r="1208" spans="1:42" ht="15.75">
      <c r="A1208" s="187"/>
      <c r="B1208" s="1813" t="s">
        <v>449</v>
      </c>
      <c r="C1208" s="223" t="s">
        <v>376</v>
      </c>
      <c r="D1208" s="224">
        <v>84</v>
      </c>
      <c r="E1208" s="224">
        <v>10</v>
      </c>
      <c r="F1208" s="224">
        <v>150</v>
      </c>
      <c r="G1208" s="425">
        <v>88</v>
      </c>
      <c r="H1208" s="504">
        <f>G1208*(1+$H$33)</f>
        <v>94.160000000000011</v>
      </c>
      <c r="I1208" s="504">
        <f t="shared" ref="I1208:I1214" si="837">H1208-H1208*$J$1114</f>
        <v>51.788000000000004</v>
      </c>
      <c r="J1208" s="1039">
        <f>G1208-G1208*$J$1114</f>
        <v>48.4</v>
      </c>
      <c r="K1208" s="807">
        <v>99</v>
      </c>
      <c r="L1208" s="808">
        <v>84</v>
      </c>
      <c r="M1208" s="809">
        <f t="shared" ref="M1208:M1214" si="838">L1208/D1208*100%</f>
        <v>1</v>
      </c>
      <c r="N1208" s="879">
        <f>K1208-(K1208*$O$33)</f>
        <v>49.5</v>
      </c>
      <c r="O1208" s="1614">
        <f t="shared" ref="O1208:O1214" si="839">((N1208/J1208)-1)*100%</f>
        <v>2.2727272727272707E-2</v>
      </c>
      <c r="P1208" s="1814">
        <f>((N1208/I1208)-1)*100%</f>
        <v>-4.4180118946474112E-2</v>
      </c>
      <c r="Q1208" s="1815">
        <v>1.0900000000000001</v>
      </c>
      <c r="R1208" s="235">
        <f t="shared" ref="R1208:R1214" si="840">Q1208*$R$33</f>
        <v>51.265970000000003</v>
      </c>
      <c r="S1208" s="1120">
        <f t="shared" ref="S1208:S1214" si="841">((J1208-R1208)/J1208)*100%</f>
        <v>-5.92142561983472E-2</v>
      </c>
      <c r="T1208" s="325">
        <f>((I1208-R1208)/I1208)*100%</f>
        <v>1.008013439406814E-2</v>
      </c>
      <c r="U1208" s="1358">
        <v>0.80800000000000005</v>
      </c>
      <c r="V1208" s="1359">
        <f t="shared" ref="V1208:V1214" si="842">U1208*$U$1108</f>
        <v>1.0625200000000001</v>
      </c>
      <c r="W1208" s="1359">
        <f t="shared" ref="W1208:W1214" si="843">V1208*$R$33</f>
        <v>49.973503160000007</v>
      </c>
      <c r="X1208" s="1360">
        <f>(ROUND(W1208/(1-$AC$1206),0))</f>
        <v>54</v>
      </c>
      <c r="Y1208" s="1359">
        <f t="shared" ref="Y1208:Y1214" si="844">Z1208*(1-$X$1109)</f>
        <v>51.940000000000005</v>
      </c>
      <c r="Z1208" s="1360">
        <f t="shared" ref="Z1208:Z1214" si="845">ROUND(X1208/(1-$X$1108),0)</f>
        <v>98</v>
      </c>
      <c r="AA1208" s="1361">
        <f t="shared" ref="AA1208:AA1214" si="846">((X1208-W1208)/X1208)*100%</f>
        <v>7.4564756296296164E-2</v>
      </c>
      <c r="AB1208" s="1361">
        <f t="shared" ref="AB1208:AB1214" si="847">((Y1208-W1208)/Y1208)*100%</f>
        <v>3.7860932614555212E-2</v>
      </c>
      <c r="AC1208" s="1362">
        <f t="shared" ref="AC1208:AC1214" si="848">((N1208/Y1208)-1)*100%</f>
        <v>-4.6977281478629229E-2</v>
      </c>
      <c r="AD1208" s="1669">
        <f t="shared" ref="AD1208:AD1214" si="849">((N1208*0.96-W1208)/(N1208*0.96))*100%</f>
        <v>-5.1630958754208992E-2</v>
      </c>
      <c r="AE1208" s="261">
        <f t="shared" ref="AE1208:AE1214" si="850">N1208/$R$33</f>
        <v>1.0524525333276635</v>
      </c>
      <c r="AF1208" s="1359">
        <f>(V1208/(1-$AC$1206))</f>
        <v>1.1549130434782611</v>
      </c>
      <c r="AG1208" s="1896">
        <f>AF1208/(1-$X$1108)</f>
        <v>2.0998418972332016</v>
      </c>
      <c r="AH1208" s="1361">
        <f t="shared" ref="AH1208:AH1214" si="851">((AF1208-V1208)/AF1208)*100%</f>
        <v>8.0000000000000043E-2</v>
      </c>
      <c r="AI1208" s="92">
        <f>AJ1208/$AJ$1215</f>
        <v>0.72776890308839193</v>
      </c>
      <c r="AJ1208" s="338">
        <f>5467</f>
        <v>5467</v>
      </c>
      <c r="AK1208" s="297">
        <f t="shared" ref="AK1208:AK1214" si="852">Q1208*S1208*AJ1208</f>
        <v>-352.85952911363694</v>
      </c>
      <c r="AL1208" s="866">
        <f>AK1208/$AK$1215</f>
        <v>0.60890803676790972</v>
      </c>
      <c r="AM1208" s="92">
        <f>AJ1208/$AJ$1226</f>
        <v>3.6433550588454822E-2</v>
      </c>
      <c r="AN1208" s="92">
        <f>AK1208/$AK$1226</f>
        <v>1.7161141910344367E-2</v>
      </c>
      <c r="AO1208" s="13"/>
      <c r="AP1208" s="13"/>
    </row>
    <row r="1209" spans="1:42" ht="15.75">
      <c r="A1209" s="187"/>
      <c r="B1209" s="384" t="s">
        <v>450</v>
      </c>
      <c r="C1209" s="250" t="s">
        <v>378</v>
      </c>
      <c r="D1209" s="251">
        <v>122</v>
      </c>
      <c r="E1209" s="251">
        <v>10</v>
      </c>
      <c r="F1209" s="251">
        <v>150</v>
      </c>
      <c r="G1209" s="433">
        <v>118</v>
      </c>
      <c r="H1209" s="357">
        <f t="shared" ref="H1209:H1214" si="853">G1209*(1+$H$33)</f>
        <v>126.26</v>
      </c>
      <c r="I1209" s="357">
        <f t="shared" si="837"/>
        <v>69.443000000000012</v>
      </c>
      <c r="J1209" s="884">
        <f>G1209-G1209*$J$1114</f>
        <v>64.900000000000006</v>
      </c>
      <c r="K1209" s="254">
        <v>139</v>
      </c>
      <c r="L1209" s="322">
        <v>122</v>
      </c>
      <c r="M1209" s="323">
        <f t="shared" si="838"/>
        <v>1</v>
      </c>
      <c r="N1209" s="765">
        <f t="shared" ref="N1209:N1214" si="854">K1209-(K1209*$O$33)</f>
        <v>69.5</v>
      </c>
      <c r="O1209" s="329">
        <f t="shared" si="839"/>
        <v>7.0878274268104668E-2</v>
      </c>
      <c r="P1209" s="330">
        <f t="shared" ref="P1209:P1214" si="855">((N1209/I1209)-1)*100%</f>
        <v>8.2081707299486162E-4</v>
      </c>
      <c r="Q1209" s="331">
        <v>1.3874512987012988</v>
      </c>
      <c r="R1209" s="382">
        <f t="shared" si="840"/>
        <v>65.255996931818189</v>
      </c>
      <c r="S1209" s="324">
        <f t="shared" si="841"/>
        <v>-5.4853148200028163E-3</v>
      </c>
      <c r="T1209" s="358">
        <f t="shared" ref="T1209:T1214" si="856">((I1209-R1209)/I1209)*100%</f>
        <v>6.0294098299062869E-2</v>
      </c>
      <c r="U1209" s="1358">
        <v>1.2170000000000001</v>
      </c>
      <c r="V1209" s="1359">
        <f t="shared" si="842"/>
        <v>1.600355</v>
      </c>
      <c r="W1209" s="1359">
        <f t="shared" si="843"/>
        <v>75.269496715000002</v>
      </c>
      <c r="X1209" s="1360">
        <f>(ROUND(W1209/(1-$AA$1206),0))</f>
        <v>84</v>
      </c>
      <c r="Y1209" s="1359">
        <f t="shared" si="844"/>
        <v>81.09</v>
      </c>
      <c r="Z1209" s="1360">
        <f t="shared" si="845"/>
        <v>153</v>
      </c>
      <c r="AA1209" s="1361">
        <f t="shared" si="846"/>
        <v>0.10393456291666664</v>
      </c>
      <c r="AB1209" s="1361">
        <f t="shared" si="847"/>
        <v>7.1778311567394268E-2</v>
      </c>
      <c r="AC1209" s="1362">
        <f t="shared" si="848"/>
        <v>-0.14292761129609077</v>
      </c>
      <c r="AD1209" s="1669">
        <f t="shared" si="849"/>
        <v>-0.12813993877398086</v>
      </c>
      <c r="AE1209" s="261">
        <f t="shared" si="850"/>
        <v>1.4776858801267194</v>
      </c>
      <c r="AF1209" s="1359">
        <f>(V1209/(1-$AA$1206))</f>
        <v>1.778172222222222</v>
      </c>
      <c r="AG1209" s="1896">
        <v>3.23</v>
      </c>
      <c r="AH1209" s="1361">
        <f t="shared" si="851"/>
        <v>9.9999999999999922E-2</v>
      </c>
      <c r="AI1209" s="77">
        <f t="shared" ref="AI1209:AI1214" si="857">AJ1209/$AJ$1215</f>
        <v>6.7358892438764639E-2</v>
      </c>
      <c r="AJ1209" s="333">
        <v>506</v>
      </c>
      <c r="AK1209" s="270">
        <f t="shared" si="852"/>
        <v>-3.8509672284239844</v>
      </c>
      <c r="AL1209" s="506">
        <f t="shared" ref="AL1209:AL1214" si="858">AK1209/$AK$1215</f>
        <v>6.6453778380519413E-3</v>
      </c>
      <c r="AM1209" s="77">
        <f t="shared" ref="AM1209:AM1214" si="859">AJ1209/$AJ$1226</f>
        <v>3.3721193703600038E-3</v>
      </c>
      <c r="AN1209" s="77">
        <f t="shared" ref="AN1209:AN1214" si="860">AK1209/$AK$1226</f>
        <v>1.8728981264889261E-4</v>
      </c>
      <c r="AO1209" s="13"/>
      <c r="AP1209" s="13"/>
    </row>
    <row r="1210" spans="1:42" ht="15.75">
      <c r="A1210" s="271"/>
      <c r="B1210" s="1816" t="s">
        <v>451</v>
      </c>
      <c r="C1210" s="925" t="s">
        <v>380</v>
      </c>
      <c r="D1210" s="926">
        <v>133</v>
      </c>
      <c r="E1210" s="926">
        <v>10</v>
      </c>
      <c r="F1210" s="926">
        <v>120</v>
      </c>
      <c r="G1210" s="433">
        <v>132</v>
      </c>
      <c r="H1210" s="357">
        <f t="shared" si="853"/>
        <v>141.24</v>
      </c>
      <c r="I1210" s="357">
        <f t="shared" si="837"/>
        <v>77.682000000000002</v>
      </c>
      <c r="J1210" s="927">
        <f>G1210-G1210*$J$1114</f>
        <v>72.599999999999994</v>
      </c>
      <c r="K1210" s="928">
        <v>152</v>
      </c>
      <c r="L1210" s="929">
        <v>133</v>
      </c>
      <c r="M1210" s="1516">
        <f t="shared" si="838"/>
        <v>1</v>
      </c>
      <c r="N1210" s="931">
        <f t="shared" si="854"/>
        <v>76</v>
      </c>
      <c r="O1210" s="932">
        <f t="shared" si="839"/>
        <v>4.6831955922865154E-2</v>
      </c>
      <c r="P1210" s="1817">
        <f t="shared" si="855"/>
        <v>-2.1652377642182308E-2</v>
      </c>
      <c r="Q1210" s="1012">
        <v>1.6314800197335964</v>
      </c>
      <c r="R1210" s="496">
        <f t="shared" si="840"/>
        <v>76.733399768130241</v>
      </c>
      <c r="S1210" s="497">
        <f t="shared" si="841"/>
        <v>-5.6933881103722404E-2</v>
      </c>
      <c r="T1210" s="358">
        <f t="shared" si="856"/>
        <v>1.2211326071287576E-2</v>
      </c>
      <c r="U1210" s="1358">
        <v>1.218</v>
      </c>
      <c r="V1210" s="1359">
        <f t="shared" si="842"/>
        <v>1.6016699999999999</v>
      </c>
      <c r="W1210" s="1359">
        <f t="shared" si="843"/>
        <v>75.331345110000001</v>
      </c>
      <c r="X1210" s="1360">
        <f>(ROUND(W1210/(1-$AA$1206),0))</f>
        <v>84</v>
      </c>
      <c r="Y1210" s="1359">
        <f t="shared" si="844"/>
        <v>81.09</v>
      </c>
      <c r="Z1210" s="1360">
        <f t="shared" si="845"/>
        <v>153</v>
      </c>
      <c r="AA1210" s="1361">
        <f t="shared" si="846"/>
        <v>0.10319827249999999</v>
      </c>
      <c r="AB1210" s="1361">
        <f t="shared" si="847"/>
        <v>7.1015598594154669E-2</v>
      </c>
      <c r="AC1210" s="1362">
        <f t="shared" si="848"/>
        <v>-6.276976199284745E-2</v>
      </c>
      <c r="AD1210" s="1669">
        <f t="shared" si="849"/>
        <v>-3.250198889802642E-2</v>
      </c>
      <c r="AE1210" s="261">
        <f t="shared" si="850"/>
        <v>1.6158867178364127</v>
      </c>
      <c r="AF1210" s="1359">
        <f>(V1210/(1-$AA$1206))</f>
        <v>1.7796333333333332</v>
      </c>
      <c r="AG1210" s="1896">
        <v>3.24</v>
      </c>
      <c r="AH1210" s="1361">
        <f t="shared" si="851"/>
        <v>9.9999999999999964E-2</v>
      </c>
      <c r="AI1210" s="77">
        <f t="shared" si="857"/>
        <v>7.1485623003194887E-2</v>
      </c>
      <c r="AJ1210" s="333">
        <v>537</v>
      </c>
      <c r="AK1210" s="270">
        <f t="shared" si="852"/>
        <v>-49.880044843570239</v>
      </c>
      <c r="AL1210" s="506">
        <f t="shared" si="858"/>
        <v>8.6074932582626551E-2</v>
      </c>
      <c r="AM1210" s="77">
        <f t="shared" si="859"/>
        <v>3.5787116638010315E-3</v>
      </c>
      <c r="AN1210" s="77">
        <f t="shared" si="860"/>
        <v>2.4258903541731444E-3</v>
      </c>
      <c r="AO1210" s="13"/>
      <c r="AP1210" s="13"/>
    </row>
    <row r="1211" spans="1:42" ht="15.75">
      <c r="A1211" s="187"/>
      <c r="B1211" s="1816" t="s">
        <v>452</v>
      </c>
      <c r="C1211" s="925" t="s">
        <v>382</v>
      </c>
      <c r="D1211" s="926">
        <v>155</v>
      </c>
      <c r="E1211" s="926">
        <v>10</v>
      </c>
      <c r="F1211" s="926">
        <v>100</v>
      </c>
      <c r="G1211" s="433">
        <v>136</v>
      </c>
      <c r="H1211" s="357">
        <f t="shared" si="853"/>
        <v>145.52000000000001</v>
      </c>
      <c r="I1211" s="357">
        <f t="shared" si="837"/>
        <v>80.036000000000001</v>
      </c>
      <c r="J1211" s="927">
        <f>G1211-G1211*$J$1114</f>
        <v>74.8</v>
      </c>
      <c r="K1211" s="928">
        <v>165</v>
      </c>
      <c r="L1211" s="929">
        <v>155</v>
      </c>
      <c r="M1211" s="1516">
        <f t="shared" si="838"/>
        <v>1</v>
      </c>
      <c r="N1211" s="931">
        <f t="shared" si="854"/>
        <v>82.5</v>
      </c>
      <c r="O1211" s="932">
        <f t="shared" si="839"/>
        <v>0.10294117647058831</v>
      </c>
      <c r="P1211" s="330">
        <f t="shared" si="855"/>
        <v>3.0786146234194511E-2</v>
      </c>
      <c r="Q1211" s="1010">
        <v>1.7372340425531918</v>
      </c>
      <c r="R1211" s="496">
        <f t="shared" si="840"/>
        <v>81.707328723404274</v>
      </c>
      <c r="S1211" s="497">
        <f t="shared" si="841"/>
        <v>-9.2343966890431506E-2</v>
      </c>
      <c r="T1211" s="358">
        <f t="shared" si="856"/>
        <v>-2.0882212047132195E-2</v>
      </c>
      <c r="U1211" s="261">
        <v>1.266</v>
      </c>
      <c r="V1211" s="262">
        <f t="shared" si="842"/>
        <v>1.66479</v>
      </c>
      <c r="W1211" s="262">
        <f t="shared" si="843"/>
        <v>78.300068069999995</v>
      </c>
      <c r="X1211" s="1360">
        <f>(ROUND(W1211/(1-$AC$1206),0))</f>
        <v>85</v>
      </c>
      <c r="Y1211" s="262">
        <f t="shared" si="844"/>
        <v>82.15</v>
      </c>
      <c r="Z1211" s="263">
        <f t="shared" si="845"/>
        <v>155</v>
      </c>
      <c r="AA1211" s="264">
        <f t="shared" si="846"/>
        <v>7.8822728588235358E-2</v>
      </c>
      <c r="AB1211" s="264">
        <f t="shared" si="847"/>
        <v>4.6864661351186984E-2</v>
      </c>
      <c r="AC1211" s="1675">
        <f t="shared" si="848"/>
        <v>4.2604990870358517E-3</v>
      </c>
      <c r="AD1211" s="266">
        <f t="shared" si="849"/>
        <v>1.1362776893939497E-2</v>
      </c>
      <c r="AE1211" s="261">
        <f t="shared" si="850"/>
        <v>1.754087555546106</v>
      </c>
      <c r="AF1211" s="1359">
        <f>(V1211/(1-$AC$1206))</f>
        <v>1.8095543478260869</v>
      </c>
      <c r="AG1211" s="1869">
        <f>AF1211/(1-$X$1108)</f>
        <v>3.2900988142292489</v>
      </c>
      <c r="AH1211" s="264">
        <f t="shared" si="851"/>
        <v>7.9999999999999988E-2</v>
      </c>
      <c r="AI1211" s="77">
        <f t="shared" si="857"/>
        <v>8.3599574014909472E-2</v>
      </c>
      <c r="AJ1211" s="333">
        <v>628</v>
      </c>
      <c r="AK1211" s="270">
        <f t="shared" si="852"/>
        <v>-100.7456960652584</v>
      </c>
      <c r="AL1211" s="506">
        <f t="shared" si="858"/>
        <v>0.17385066561191595</v>
      </c>
      <c r="AM1211" s="77">
        <f t="shared" si="859"/>
        <v>4.1851600090634039E-3</v>
      </c>
      <c r="AN1211" s="77">
        <f t="shared" si="860"/>
        <v>4.8997151681725816E-3</v>
      </c>
      <c r="AO1211" s="13"/>
      <c r="AP1211" s="13"/>
    </row>
    <row r="1212" spans="1:42" ht="15.75">
      <c r="A1212" s="187"/>
      <c r="B1212" s="1816" t="s">
        <v>453</v>
      </c>
      <c r="C1212" s="925" t="s">
        <v>384</v>
      </c>
      <c r="D1212" s="926">
        <v>220</v>
      </c>
      <c r="E1212" s="926">
        <v>5</v>
      </c>
      <c r="F1212" s="926">
        <v>50</v>
      </c>
      <c r="G1212" s="433">
        <v>198</v>
      </c>
      <c r="H1212" s="357">
        <f t="shared" si="853"/>
        <v>211.86</v>
      </c>
      <c r="I1212" s="357">
        <f t="shared" si="837"/>
        <v>116.52300000000001</v>
      </c>
      <c r="J1212" s="927">
        <f>G1212-G1212*$J$1194</f>
        <v>108.89999999999999</v>
      </c>
      <c r="K1212" s="928">
        <v>232</v>
      </c>
      <c r="L1212" s="929">
        <v>196</v>
      </c>
      <c r="M1212" s="1516">
        <f t="shared" si="838"/>
        <v>0.89090909090909087</v>
      </c>
      <c r="N1212" s="931">
        <f t="shared" si="854"/>
        <v>116</v>
      </c>
      <c r="O1212" s="1571">
        <f t="shared" si="839"/>
        <v>6.5197428833792648E-2</v>
      </c>
      <c r="P1212" s="1132">
        <f t="shared" si="855"/>
        <v>-4.4883842674837693E-3</v>
      </c>
      <c r="Q1212" s="1010">
        <v>2.6190756302521003</v>
      </c>
      <c r="R1212" s="496">
        <f t="shared" si="840"/>
        <v>123.18298411764704</v>
      </c>
      <c r="S1212" s="497">
        <f t="shared" si="841"/>
        <v>-0.13115687894992697</v>
      </c>
      <c r="T1212" s="1132">
        <f t="shared" si="856"/>
        <v>-5.7155961635445597E-2</v>
      </c>
      <c r="U1212" s="261">
        <v>1.9330000000000001</v>
      </c>
      <c r="V1212" s="262">
        <f t="shared" si="842"/>
        <v>2.5418949999999998</v>
      </c>
      <c r="W1212" s="262">
        <f t="shared" si="843"/>
        <v>119.55294753499999</v>
      </c>
      <c r="X1212" s="1360">
        <f>(ROUND(W1212/(1-$AA$1206),0))</f>
        <v>133</v>
      </c>
      <c r="Y1212" s="262">
        <f t="shared" si="844"/>
        <v>128.26000000000002</v>
      </c>
      <c r="Z1212" s="263">
        <f t="shared" si="845"/>
        <v>242</v>
      </c>
      <c r="AA1212" s="264">
        <f t="shared" si="846"/>
        <v>0.10110565763157904</v>
      </c>
      <c r="AB1212" s="264">
        <f t="shared" si="847"/>
        <v>6.7885954038671689E-2</v>
      </c>
      <c r="AC1212" s="1590">
        <f t="shared" si="848"/>
        <v>-9.5587088726025393E-2</v>
      </c>
      <c r="AD1212" s="266">
        <f t="shared" si="849"/>
        <v>-7.3571727146192423E-2</v>
      </c>
      <c r="AE1212" s="261">
        <f t="shared" si="850"/>
        <v>2.4663534114345245</v>
      </c>
      <c r="AF1212" s="1359">
        <f>(V1212/(1-$AA$1206))</f>
        <v>2.8243277777777775</v>
      </c>
      <c r="AG1212" s="1869">
        <v>5.14</v>
      </c>
      <c r="AH1212" s="264">
        <f t="shared" si="851"/>
        <v>0.1</v>
      </c>
      <c r="AI1212" s="77">
        <f t="shared" si="857"/>
        <v>1.7305644302449415E-2</v>
      </c>
      <c r="AJ1212" s="333">
        <v>130</v>
      </c>
      <c r="AK1212" s="270">
        <f t="shared" si="852"/>
        <v>-44.656272101698193</v>
      </c>
      <c r="AL1212" s="506">
        <f t="shared" si="858"/>
        <v>7.7060588509887437E-2</v>
      </c>
      <c r="AM1212" s="77">
        <f t="shared" si="859"/>
        <v>8.66354778946246E-4</v>
      </c>
      <c r="AN1212" s="77">
        <f t="shared" si="860"/>
        <v>2.1718348506818818E-3</v>
      </c>
      <c r="AO1212" s="13"/>
      <c r="AP1212" s="13"/>
    </row>
    <row r="1213" spans="1:42" ht="15.75">
      <c r="A1213" s="187"/>
      <c r="B1213" s="1816" t="s">
        <v>454</v>
      </c>
      <c r="C1213" s="925" t="s">
        <v>386</v>
      </c>
      <c r="D1213" s="926">
        <v>240</v>
      </c>
      <c r="E1213" s="926">
        <v>5</v>
      </c>
      <c r="F1213" s="926">
        <v>50</v>
      </c>
      <c r="G1213" s="433">
        <v>216</v>
      </c>
      <c r="H1213" s="357">
        <f t="shared" si="853"/>
        <v>231.12</v>
      </c>
      <c r="I1213" s="357">
        <f t="shared" si="837"/>
        <v>127.116</v>
      </c>
      <c r="J1213" s="927">
        <f>G1213-G1213*$J$1194</f>
        <v>118.8</v>
      </c>
      <c r="K1213" s="928">
        <v>258</v>
      </c>
      <c r="L1213" s="929">
        <v>206</v>
      </c>
      <c r="M1213" s="1516">
        <f t="shared" si="838"/>
        <v>0.85833333333333328</v>
      </c>
      <c r="N1213" s="931">
        <f t="shared" si="854"/>
        <v>129</v>
      </c>
      <c r="O1213" s="932">
        <f t="shared" si="839"/>
        <v>8.5858585858585856E-2</v>
      </c>
      <c r="P1213" s="330">
        <f t="shared" si="855"/>
        <v>1.4821108279052142E-2</v>
      </c>
      <c r="Q1213" s="1010">
        <v>2.8160866078588613</v>
      </c>
      <c r="R1213" s="496">
        <f t="shared" si="840"/>
        <v>132.44900142742583</v>
      </c>
      <c r="S1213" s="497">
        <f t="shared" si="841"/>
        <v>-0.11489058440594133</v>
      </c>
      <c r="T1213" s="1132">
        <f t="shared" si="856"/>
        <v>-4.1953817201814306E-2</v>
      </c>
      <c r="U1213" s="261">
        <v>2.0609999999999999</v>
      </c>
      <c r="V1213" s="262">
        <f t="shared" si="842"/>
        <v>2.7102149999999998</v>
      </c>
      <c r="W1213" s="262">
        <f t="shared" si="843"/>
        <v>127.46954209499999</v>
      </c>
      <c r="X1213" s="1360">
        <f>(ROUND(W1213/(1-$AA$1206),0))</f>
        <v>142</v>
      </c>
      <c r="Y1213" s="262">
        <f t="shared" si="844"/>
        <v>136.74</v>
      </c>
      <c r="Z1213" s="263">
        <f t="shared" si="845"/>
        <v>258</v>
      </c>
      <c r="AA1213" s="264">
        <f t="shared" si="846"/>
        <v>0.10232716834507047</v>
      </c>
      <c r="AB1213" s="264">
        <f t="shared" si="847"/>
        <v>6.7796240346643374E-2</v>
      </c>
      <c r="AC1213" s="1590">
        <f t="shared" si="848"/>
        <v>-5.6603773584905759E-2</v>
      </c>
      <c r="AD1213" s="266">
        <f t="shared" si="849"/>
        <v>-2.9308317950581437E-2</v>
      </c>
      <c r="AE1213" s="261">
        <f t="shared" si="850"/>
        <v>2.742755086853911</v>
      </c>
      <c r="AF1213" s="1359">
        <f>(V1213/(1-$AA$1206))</f>
        <v>3.0113499999999997</v>
      </c>
      <c r="AG1213" s="1869">
        <v>5.48</v>
      </c>
      <c r="AH1213" s="264">
        <f t="shared" si="851"/>
        <v>9.9999999999999992E-2</v>
      </c>
      <c r="AI1213" s="77">
        <f t="shared" si="857"/>
        <v>1.9701810436634718E-2</v>
      </c>
      <c r="AJ1213" s="333">
        <v>148</v>
      </c>
      <c r="AK1213" s="270">
        <f t="shared" si="852"/>
        <v>-47.88419174496812</v>
      </c>
      <c r="AL1213" s="506">
        <f t="shared" si="858"/>
        <v>8.2630811362491993E-2</v>
      </c>
      <c r="AM1213" s="77">
        <f t="shared" si="859"/>
        <v>9.8631159449264925E-4</v>
      </c>
      <c r="AN1213" s="77">
        <f t="shared" si="860"/>
        <v>2.3288230641290058E-3</v>
      </c>
      <c r="AO1213" s="13"/>
      <c r="AP1213" s="13"/>
    </row>
    <row r="1214" spans="1:42" ht="16.5" thickBot="1">
      <c r="A1214" s="187"/>
      <c r="B1214" s="387" t="s">
        <v>455</v>
      </c>
      <c r="C1214" s="275" t="s">
        <v>388</v>
      </c>
      <c r="D1214" s="276">
        <v>370</v>
      </c>
      <c r="E1214" s="276">
        <v>5</v>
      </c>
      <c r="F1214" s="1660">
        <v>40</v>
      </c>
      <c r="G1214" s="916">
        <v>398</v>
      </c>
      <c r="H1214" s="360">
        <f t="shared" si="853"/>
        <v>425.86</v>
      </c>
      <c r="I1214" s="360">
        <f t="shared" si="837"/>
        <v>234.22300000000001</v>
      </c>
      <c r="J1214" s="887">
        <f>G1214-G1214*$J$1194</f>
        <v>218.9</v>
      </c>
      <c r="K1214" s="279">
        <v>491</v>
      </c>
      <c r="L1214" s="341">
        <v>392</v>
      </c>
      <c r="M1214" s="342">
        <f t="shared" si="838"/>
        <v>1.0594594594594595</v>
      </c>
      <c r="N1214" s="767">
        <f t="shared" si="854"/>
        <v>245.5</v>
      </c>
      <c r="O1214" s="363">
        <f t="shared" si="839"/>
        <v>0.1215166742804934</v>
      </c>
      <c r="P1214" s="388">
        <f t="shared" si="855"/>
        <v>4.8146424561208656E-2</v>
      </c>
      <c r="Q1214" s="344">
        <v>4.4311923349893547</v>
      </c>
      <c r="R1214" s="390">
        <f t="shared" si="840"/>
        <v>208.41226909155432</v>
      </c>
      <c r="S1214" s="901">
        <f t="shared" si="841"/>
        <v>4.7911059426430716E-2</v>
      </c>
      <c r="T1214" s="935">
        <f t="shared" si="856"/>
        <v>0.11019725180040256</v>
      </c>
      <c r="U1214" s="1358">
        <v>3.2509999999999999</v>
      </c>
      <c r="V1214" s="1359">
        <f t="shared" si="842"/>
        <v>4.2750649999999997</v>
      </c>
      <c r="W1214" s="1359">
        <f t="shared" si="843"/>
        <v>201.069132145</v>
      </c>
      <c r="X1214" s="1360">
        <f>(ROUND(W1214/(1-$AB$1206),0))</f>
        <v>245</v>
      </c>
      <c r="Y1214" s="1359">
        <f t="shared" si="844"/>
        <v>235.85000000000002</v>
      </c>
      <c r="Z1214" s="1360">
        <f t="shared" si="845"/>
        <v>445</v>
      </c>
      <c r="AA1214" s="1361">
        <f t="shared" si="846"/>
        <v>0.17930966471428572</v>
      </c>
      <c r="AB1214" s="1361">
        <f t="shared" si="847"/>
        <v>0.14747028982404078</v>
      </c>
      <c r="AC1214" s="1696">
        <f t="shared" si="848"/>
        <v>4.0915836336654632E-2</v>
      </c>
      <c r="AD1214" s="1669">
        <f t="shared" si="849"/>
        <v>0.14685534561693817</v>
      </c>
      <c r="AE1214" s="261">
        <f t="shared" si="850"/>
        <v>5.2197393319584124</v>
      </c>
      <c r="AF1214" s="1359">
        <f>(V1214/(1-$AB$1206))</f>
        <v>5.2134939024390237</v>
      </c>
      <c r="AG1214" s="1896">
        <v>9.48</v>
      </c>
      <c r="AH1214" s="1361">
        <f t="shared" si="851"/>
        <v>0.17999999999999994</v>
      </c>
      <c r="AI1214" s="77">
        <f t="shared" si="857"/>
        <v>1.2779552715654952E-2</v>
      </c>
      <c r="AJ1214" s="333">
        <v>96</v>
      </c>
      <c r="AK1214" s="270">
        <f t="shared" si="852"/>
        <v>20.38109945199545</v>
      </c>
      <c r="AL1214" s="506">
        <f t="shared" si="858"/>
        <v>-3.5170412672883809E-2</v>
      </c>
      <c r="AM1214" s="77">
        <f t="shared" si="859"/>
        <v>6.3976968291415089E-4</v>
      </c>
      <c r="AN1214" s="77">
        <f t="shared" si="860"/>
        <v>-9.9122430068169154E-4</v>
      </c>
      <c r="AO1214" s="13"/>
      <c r="AP1214" s="13"/>
    </row>
    <row r="1215" spans="1:42" ht="15.75" thickBot="1">
      <c r="A1215" s="187"/>
      <c r="B1215" s="412"/>
      <c r="C1215" s="413"/>
      <c r="D1215" s="414"/>
      <c r="E1215" s="414"/>
      <c r="F1215" s="2"/>
      <c r="G1215" s="415"/>
      <c r="H1215" s="416"/>
      <c r="I1215" s="416"/>
      <c r="J1215" s="1042"/>
      <c r="K1215" s="815"/>
      <c r="L1215" s="779"/>
      <c r="M1215" s="816"/>
      <c r="N1215" s="1771"/>
      <c r="O1215" s="817"/>
      <c r="P1215" s="886"/>
      <c r="Q1215" s="1091"/>
      <c r="R1215" s="1092"/>
      <c r="S1215" s="1092"/>
      <c r="T1215" s="365"/>
      <c r="U1215" s="366"/>
      <c r="V1215" s="366"/>
      <c r="W1215" s="366"/>
      <c r="X1215" s="366"/>
      <c r="Y1215" s="366"/>
      <c r="Z1215" s="366"/>
      <c r="AA1215" s="367"/>
      <c r="AB1215" s="367"/>
      <c r="AC1215" s="367"/>
      <c r="AD1215" s="367"/>
      <c r="AE1215" s="366"/>
      <c r="AF1215" s="366"/>
      <c r="AG1215" s="1872"/>
      <c r="AH1215" s="367"/>
      <c r="AI1215" s="512">
        <f>S1208*AI1208+S1209*AI1209+S1210*AI1210+S1211*AI1211+S1212*AI1212+S1213*AI1213+S1214*AI1214</f>
        <v>-5.9174674167439822E-2</v>
      </c>
      <c r="AJ1215" s="513">
        <f>SUM(AJ1208:AJ1214)</f>
        <v>7512</v>
      </c>
      <c r="AK1215" s="514">
        <f>SUM(AK1208:AK1214)</f>
        <v>-579.49560164556055</v>
      </c>
      <c r="AM1215" s="307">
        <f>SUM(AM1208:AM1214)</f>
        <v>5.0061977688032312E-2</v>
      </c>
      <c r="AN1215" s="307">
        <f>SUM(AN1208:AN1214)</f>
        <v>2.8183470859468186E-2</v>
      </c>
      <c r="AO1215" s="13"/>
      <c r="AP1215" s="13"/>
    </row>
    <row r="1216" spans="1:42">
      <c r="A1216" s="187"/>
      <c r="B1216" s="412"/>
      <c r="C1216" s="413"/>
      <c r="D1216" s="414"/>
      <c r="E1216" s="414"/>
      <c r="F1216" s="2"/>
      <c r="G1216" s="415"/>
      <c r="H1216" s="416"/>
      <c r="I1216" s="416"/>
      <c r="J1216" s="1042"/>
      <c r="K1216" s="815"/>
      <c r="L1216" s="779"/>
      <c r="M1216" s="816"/>
      <c r="N1216" s="1771"/>
      <c r="O1216" s="817"/>
      <c r="P1216" s="817"/>
      <c r="AO1216" s="13"/>
      <c r="AP1216" s="13"/>
    </row>
    <row r="1217" spans="1:42">
      <c r="A1217" s="149" t="s">
        <v>151</v>
      </c>
      <c r="J1217" s="532"/>
      <c r="K1217" s="533"/>
      <c r="N1217" s="1756"/>
      <c r="AO1217" s="13"/>
      <c r="AP1217" s="13"/>
    </row>
    <row r="1218" spans="1:42">
      <c r="A1218" s="187"/>
      <c r="B1218" s="157"/>
      <c r="C1218" s="157" t="s">
        <v>152</v>
      </c>
      <c r="J1218" s="532"/>
      <c r="K1218" s="533"/>
      <c r="N1218" s="1756"/>
      <c r="AO1218" s="13"/>
      <c r="AP1218" s="13"/>
    </row>
    <row r="1219" spans="1:42" ht="15.75" thickBot="1">
      <c r="A1219" s="187"/>
      <c r="C1219" s="148" t="s">
        <v>9</v>
      </c>
      <c r="J1219" s="532"/>
      <c r="K1219" s="1850" t="s">
        <v>1480</v>
      </c>
      <c r="L1219" s="1850"/>
      <c r="M1219" s="1850"/>
      <c r="N1219" s="898"/>
      <c r="O1219" s="899"/>
      <c r="P1219" s="459"/>
      <c r="U1219" s="309"/>
      <c r="V1219" s="309"/>
      <c r="W1219" s="309"/>
      <c r="X1219" s="309"/>
      <c r="Y1219" s="309"/>
      <c r="Z1219" s="309"/>
      <c r="AA1219" s="346">
        <v>0.1</v>
      </c>
      <c r="AB1219" s="628"/>
      <c r="AC1219" s="628"/>
      <c r="AD1219" s="585"/>
      <c r="AE1219" s="188"/>
      <c r="AF1219" s="188"/>
      <c r="AG1219" s="1866"/>
      <c r="AH1219" s="1851"/>
      <c r="AO1219" s="13"/>
      <c r="AP1219" s="13"/>
    </row>
    <row r="1220" spans="1:42" ht="60.75" thickBot="1">
      <c r="A1220" s="271"/>
      <c r="B1220" s="189" t="s">
        <v>10</v>
      </c>
      <c r="C1220" s="190" t="s">
        <v>11</v>
      </c>
      <c r="D1220" s="190" t="s">
        <v>12</v>
      </c>
      <c r="E1220" s="190" t="s">
        <v>13</v>
      </c>
      <c r="F1220" s="190" t="s">
        <v>14</v>
      </c>
      <c r="G1220" s="191" t="s">
        <v>15</v>
      </c>
      <c r="H1220" s="347" t="s">
        <v>1090</v>
      </c>
      <c r="I1220" s="347">
        <f>$C$21</f>
        <v>0.45</v>
      </c>
      <c r="J1220" s="873">
        <f>$C$21</f>
        <v>0.45</v>
      </c>
      <c r="K1220" s="601" t="s">
        <v>15</v>
      </c>
      <c r="L1220" s="315" t="s">
        <v>12</v>
      </c>
      <c r="M1220" s="316" t="s">
        <v>1091</v>
      </c>
      <c r="N1220" s="605" t="s">
        <v>993</v>
      </c>
      <c r="O1220" s="1153" t="s">
        <v>1092</v>
      </c>
      <c r="P1220" s="602" t="s">
        <v>1092</v>
      </c>
      <c r="Q1220" s="875" t="s">
        <v>1093</v>
      </c>
      <c r="R1220" s="876" t="s">
        <v>1094</v>
      </c>
      <c r="S1220" s="1126" t="s">
        <v>1095</v>
      </c>
      <c r="T1220" s="1376" t="s">
        <v>1095</v>
      </c>
      <c r="U1220" s="204" t="s">
        <v>1096</v>
      </c>
      <c r="V1220" s="205" t="s">
        <v>1093</v>
      </c>
      <c r="W1220" s="206" t="s">
        <v>1094</v>
      </c>
      <c r="X1220" s="207" t="s">
        <v>1097</v>
      </c>
      <c r="Y1220" s="208">
        <f>$X$1109</f>
        <v>0.47</v>
      </c>
      <c r="Z1220" s="207" t="s">
        <v>1098</v>
      </c>
      <c r="AA1220" s="209" t="s">
        <v>1099</v>
      </c>
      <c r="AB1220" s="209" t="s">
        <v>1100</v>
      </c>
      <c r="AC1220" s="210" t="s">
        <v>1092</v>
      </c>
      <c r="AD1220" s="211" t="s">
        <v>1101</v>
      </c>
      <c r="AE1220" s="212" t="s">
        <v>1102</v>
      </c>
      <c r="AF1220" s="208" t="s">
        <v>1103</v>
      </c>
      <c r="AG1220" s="1867" t="s">
        <v>1104</v>
      </c>
      <c r="AH1220" s="213" t="s">
        <v>1105</v>
      </c>
      <c r="AI1220" s="220" t="s">
        <v>1106</v>
      </c>
      <c r="AJ1220" s="483" t="s">
        <v>1107</v>
      </c>
      <c r="AK1220" s="484" t="s">
        <v>1108</v>
      </c>
      <c r="AL1220" s="221" t="s">
        <v>1109</v>
      </c>
      <c r="AM1220" s="221" t="s">
        <v>1175</v>
      </c>
      <c r="AN1220" s="221" t="s">
        <v>1176</v>
      </c>
      <c r="AO1220" s="13"/>
      <c r="AP1220" s="13"/>
    </row>
    <row r="1221" spans="1:42" ht="15.75">
      <c r="A1221" s="187"/>
      <c r="B1221" s="925" t="s">
        <v>456</v>
      </c>
      <c r="C1221" s="925" t="s">
        <v>376</v>
      </c>
      <c r="D1221" s="926">
        <v>128</v>
      </c>
      <c r="E1221" s="926">
        <v>10</v>
      </c>
      <c r="F1221" s="926">
        <v>100</v>
      </c>
      <c r="G1221" s="433">
        <v>120</v>
      </c>
      <c r="H1221" s="453">
        <f>G1221*(1+$H$33)</f>
        <v>128.4</v>
      </c>
      <c r="I1221" s="453">
        <f>H1221-H1221*$J$1114</f>
        <v>70.62</v>
      </c>
      <c r="J1221" s="1567">
        <f>G1221-G1221*$J$1114</f>
        <v>66</v>
      </c>
      <c r="K1221" s="1568">
        <v>146</v>
      </c>
      <c r="L1221" s="929">
        <v>128</v>
      </c>
      <c r="M1221" s="1516">
        <f>L1221/D1221*100%</f>
        <v>1</v>
      </c>
      <c r="N1221" s="1768">
        <f>K1221-(K1221*$O$33)</f>
        <v>73</v>
      </c>
      <c r="O1221" s="1510">
        <f>((N1221/J1221)-1)*100%</f>
        <v>0.10606060606060597</v>
      </c>
      <c r="P1221" s="472">
        <f>((N1221/I1221)-1)*100%</f>
        <v>3.370150099122049E-2</v>
      </c>
      <c r="Q1221" s="1012">
        <v>1.5402568218298553</v>
      </c>
      <c r="R1221" s="496">
        <f>Q1221*$R$33</f>
        <v>72.442899101123587</v>
      </c>
      <c r="S1221" s="1778">
        <f>((J1221-R1221)/J1221)*100%</f>
        <v>-9.7619683350357367E-2</v>
      </c>
      <c r="T1221" s="964">
        <f>((I1221-R1221)/I1221)*100%</f>
        <v>-2.5812788177904021E-2</v>
      </c>
      <c r="U1221" s="1358">
        <v>1.1359999999999999</v>
      </c>
      <c r="V1221" s="1359">
        <f>U1221*$U$1108</f>
        <v>1.4938399999999998</v>
      </c>
      <c r="W1221" s="1359">
        <f>V1221*$R$33</f>
        <v>70.259776719999991</v>
      </c>
      <c r="X1221" s="1360">
        <f>(ROUND(W1221/(1-$AA$1219),0))</f>
        <v>78</v>
      </c>
      <c r="Y1221" s="1359">
        <f>Z1221*(1-$X$1109)</f>
        <v>75.260000000000005</v>
      </c>
      <c r="Z1221" s="1360">
        <f>ROUND(X1221/(1-$X$1108),0)</f>
        <v>142</v>
      </c>
      <c r="AA1221" s="1361">
        <f>((X1221-W1221)/X1221)*100%</f>
        <v>9.9233631794871907E-2</v>
      </c>
      <c r="AB1221" s="1361">
        <f>((Y1221-W1221)/Y1221)*100%</f>
        <v>6.6439320754717174E-2</v>
      </c>
      <c r="AC1221" s="1362">
        <f>((N1221/Y1221)-1)*100%</f>
        <v>-3.002923199574814E-2</v>
      </c>
      <c r="AD1221" s="1669">
        <f>((N1221*0.96-W1221)/(N1221*0.96))*100%</f>
        <v>-2.5653070776254631E-3</v>
      </c>
      <c r="AE1221" s="261">
        <f>N1221/$R$33</f>
        <v>1.5521017158165542</v>
      </c>
      <c r="AF1221" s="1359">
        <f>(V1221/(1-$AA$1219))</f>
        <v>1.6598222222222221</v>
      </c>
      <c r="AG1221" s="1896">
        <v>3.02</v>
      </c>
      <c r="AH1221" s="1361">
        <f>((AF1221-V1221)/AF1221)*100%</f>
        <v>0.10000000000000003</v>
      </c>
      <c r="AI1221" s="92">
        <f>((AG1221-W1221)/AG1221)*100%</f>
        <v>-22.26482672847682</v>
      </c>
      <c r="AJ1221" s="338">
        <v>1788</v>
      </c>
      <c r="AK1221" s="297">
        <f>Q1221*S1221*AJ1221</f>
        <v>-268.84257720676186</v>
      </c>
      <c r="AL1221" s="866">
        <f>AK1221/$AK$1223</f>
        <v>0.75468664741603864</v>
      </c>
      <c r="AM1221" s="92">
        <f>AJ1221/$AJ$1226</f>
        <v>1.191571034427606E-2</v>
      </c>
      <c r="AN1221" s="92">
        <f>AK1221/$AK$1226</f>
        <v>1.307502061961361E-2</v>
      </c>
      <c r="AO1221" s="13"/>
      <c r="AP1221" s="13"/>
    </row>
    <row r="1222" spans="1:42" ht="16.5" thickBot="1">
      <c r="A1222" s="187"/>
      <c r="B1222" s="925" t="s">
        <v>457</v>
      </c>
      <c r="C1222" s="925" t="s">
        <v>380</v>
      </c>
      <c r="D1222" s="926">
        <v>175</v>
      </c>
      <c r="E1222" s="926">
        <v>10</v>
      </c>
      <c r="F1222" s="926">
        <v>80</v>
      </c>
      <c r="G1222" s="433">
        <v>148</v>
      </c>
      <c r="H1222" s="453">
        <f>G1222*(1+$H$33)</f>
        <v>158.36000000000001</v>
      </c>
      <c r="I1222" s="453">
        <f>H1222-H1222*$J$1114</f>
        <v>87.097999999999999</v>
      </c>
      <c r="J1222" s="1567">
        <f>G1222-G1222*$J$1114</f>
        <v>81.399999999999991</v>
      </c>
      <c r="K1222" s="1568">
        <v>204</v>
      </c>
      <c r="L1222" s="929">
        <v>175</v>
      </c>
      <c r="M1222" s="1516">
        <f>L1222/D1222*100%</f>
        <v>1</v>
      </c>
      <c r="N1222" s="1768">
        <f>K1222-(K1222*$O$33)</f>
        <v>102</v>
      </c>
      <c r="O1222" s="1510">
        <f>((N1222/J1222)-1)*100%</f>
        <v>0.25307125307125311</v>
      </c>
      <c r="P1222" s="475">
        <f>((N1222/I1222)-1)*100%</f>
        <v>0.17109462903855421</v>
      </c>
      <c r="Q1222" s="1010">
        <v>1.8980971937029434</v>
      </c>
      <c r="R1222" s="496">
        <f>Q1222*$R$33</f>
        <v>89.273205311430544</v>
      </c>
      <c r="S1222" s="1778">
        <f>((J1222-R1222)/J1222)*100%</f>
        <v>-9.672242397334832E-2</v>
      </c>
      <c r="T1222" s="1415">
        <f>((I1222-R1222)/I1222)*100%</f>
        <v>-2.4974228012474977E-2</v>
      </c>
      <c r="U1222" s="1358">
        <v>1.4930000000000001</v>
      </c>
      <c r="V1222" s="1359">
        <f>U1222*$U$1108</f>
        <v>1.963295</v>
      </c>
      <c r="W1222" s="1359">
        <f>V1222*$R$33</f>
        <v>92.339653734999999</v>
      </c>
      <c r="X1222" s="1360">
        <f>(ROUND(W1222/(1-$AA$1219),0))</f>
        <v>103</v>
      </c>
      <c r="Y1222" s="1359">
        <f>Z1222*(1-$X$1109)</f>
        <v>99.11</v>
      </c>
      <c r="Z1222" s="1360">
        <f>ROUND(X1222/(1-$X$1108),0)</f>
        <v>187</v>
      </c>
      <c r="AA1222" s="1361">
        <f>((X1222-W1222)/X1222)*100%</f>
        <v>0.10349850742718447</v>
      </c>
      <c r="AB1222" s="1361">
        <f>((Y1222-W1222)/Y1222)*100%</f>
        <v>6.831143441630512E-2</v>
      </c>
      <c r="AC1222" s="1673">
        <f>((N1222/Y1222)-1)*100%</f>
        <v>2.9159519725557415E-2</v>
      </c>
      <c r="AD1222" s="1669">
        <f>((N1222*0.96-W1222)/(N1222*0.96))*100%</f>
        <v>5.698883032066996E-2</v>
      </c>
      <c r="AE1222" s="261">
        <f>N1222/$R$33</f>
        <v>2.1686900686751853</v>
      </c>
      <c r="AF1222" s="1359">
        <f>(V1222/(1-$AA$1219))</f>
        <v>2.1814388888888887</v>
      </c>
      <c r="AG1222" s="1896">
        <v>3.97</v>
      </c>
      <c r="AH1222" s="1361">
        <f>((AF1222-V1222)/AF1222)*100%</f>
        <v>9.9999999999999922E-2</v>
      </c>
      <c r="AI1222" s="77">
        <f>((AG1222-W1222)/AG1222)*100%</f>
        <v>-22.25935862342569</v>
      </c>
      <c r="AJ1222" s="333">
        <v>476</v>
      </c>
      <c r="AK1222" s="270">
        <f>Q1222*S1222*AJ1222</f>
        <v>-87.388155279692356</v>
      </c>
      <c r="AL1222" s="506">
        <f>AK1222/$AK$1223</f>
        <v>0.24531335258396136</v>
      </c>
      <c r="AM1222" s="77">
        <f>AJ1222/$AJ$1226</f>
        <v>3.1721913444493315E-3</v>
      </c>
      <c r="AN1222" s="77">
        <f>AK1222/$AK$1226</f>
        <v>4.2500780347497543E-3</v>
      </c>
      <c r="AO1222" s="13"/>
      <c r="AP1222" s="13"/>
    </row>
    <row r="1223" spans="1:42" ht="15.75" thickBot="1">
      <c r="A1223" s="187"/>
      <c r="J1223" s="532"/>
      <c r="K1223" s="533"/>
      <c r="N1223" s="1756"/>
      <c r="P1223" s="1209"/>
      <c r="Q1223" s="1091"/>
      <c r="R1223" s="1092"/>
      <c r="S1223" s="1092"/>
      <c r="T1223" s="1810"/>
      <c r="U1223" s="1811"/>
      <c r="V1223" s="1811"/>
      <c r="W1223" s="1811"/>
      <c r="X1223" s="1811"/>
      <c r="Y1223" s="1811"/>
      <c r="Z1223" s="1811"/>
      <c r="AA1223" s="1252"/>
      <c r="AB1223" s="1252"/>
      <c r="AC1223" s="1252"/>
      <c r="AD1223" s="1252"/>
      <c r="AE1223" s="1811"/>
      <c r="AF1223" s="1811"/>
      <c r="AG1223" s="1903"/>
      <c r="AH1223" s="1252"/>
      <c r="AI1223" s="512">
        <f>S1221*AI1221+S1222*AI1222</f>
        <v>4.3264644572342661</v>
      </c>
      <c r="AJ1223" s="513">
        <f>SUM(AJ1221:AJ1222)</f>
        <v>2264</v>
      </c>
      <c r="AK1223" s="514">
        <f>SUM(AK1221:AK1222)</f>
        <v>-356.2307324864542</v>
      </c>
      <c r="AM1223" s="307">
        <f>SUM(AM1221:AM1222)</f>
        <v>1.5087901688725392E-2</v>
      </c>
      <c r="AN1223" s="307">
        <f>SUM(AN1221:AN1222)</f>
        <v>1.7325098654363366E-2</v>
      </c>
      <c r="AO1223" s="13"/>
      <c r="AP1223" s="13"/>
    </row>
    <row r="1224" spans="1:42" ht="15.75" thickBot="1">
      <c r="A1224" s="187"/>
      <c r="J1224" s="532"/>
      <c r="K1224" s="533"/>
      <c r="N1224" s="1756"/>
      <c r="AO1224" s="13"/>
      <c r="AP1224" s="13"/>
    </row>
    <row r="1225" spans="1:42" ht="48" thickBot="1">
      <c r="A1225" s="187"/>
      <c r="B1225" s="2344" t="s">
        <v>1481</v>
      </c>
      <c r="C1225" s="2345"/>
      <c r="D1225" s="2345"/>
      <c r="E1225" s="2346"/>
      <c r="F1225" s="1818" t="s">
        <v>1482</v>
      </c>
      <c r="G1225" s="975">
        <f>AVERAGE(O1115:O1121,O1127:O1133,O1137:O1143,O1148:O1160,O1163,O1165:O1169,O1172,O1174:O1177,O1181,O1186:O1189,O1195:O1201,O1208:O1214,O1221:O1222)</f>
        <v>0.11866328989969413</v>
      </c>
      <c r="H1225" s="1819"/>
      <c r="I1225" s="1819"/>
      <c r="J1225" s="976" t="s">
        <v>1244</v>
      </c>
      <c r="K1225" s="1820">
        <f>AVERAGE(M1115:M1121,M1127:M1133,M1137:M1143,M1148:M1160,M1163,M1165:M1169,M1172,M1174:M1177,M1181,M1186:M1189,M1195:M1201,M1208:M1214,M1221:M1222)</f>
        <v>1.0112107953229497</v>
      </c>
      <c r="L1225" s="977" t="s">
        <v>1135</v>
      </c>
      <c r="N1225" s="1756"/>
      <c r="P1225" s="1821">
        <f>AVERAGE(P1115:P1121,P1127:P1133,P1137:P1143,P1148:P1160,P1163:P1169,P1172:P1177,P1181,P1186:P1189,P1195:P1201,P1208:P1214,P1221:P1222)</f>
        <v>4.5479710186629968E-2</v>
      </c>
      <c r="R1225" s="1822" t="s">
        <v>1133</v>
      </c>
      <c r="S1225" s="615">
        <f>AVERAGE(S1115:S1121,S1127:S1133,S1137:S1143,S1148:S1160,S1163:S1169,S1172:S1177,S1181,S1186:S1189,S1195:S1201,S1208:S1214,S1221:S1222)</f>
        <v>-3.9133264414699977E-2</v>
      </c>
      <c r="T1225" s="1095">
        <f>AVERAGE(T1115:T1121,T1127:T1133,T1137:T1143,T1148:T1160,T1163:T1169,T1172:T1177,T1181,T1186:T1189,T1195:T1201,T1208:T1214,T1221:T1222)</f>
        <v>2.8847416434859864E-2</v>
      </c>
      <c r="U1225" s="2376" t="s">
        <v>1483</v>
      </c>
      <c r="V1225" s="2377"/>
      <c r="W1225" s="2377"/>
      <c r="X1225" s="2377"/>
      <c r="Y1225" s="2377"/>
      <c r="Z1225" s="2378"/>
      <c r="AA1225" s="1754">
        <f>AVERAGE(AA1115:AA1121,AA1127:AA1133,AA1137:AA1143,AA1148:AA1160,AA1163:AA1169,AA1172:AA1177,AA1181,AA1186:AA1189,AA1195:AA1201,AA1208:AA1214,AA1221:AA1222)</f>
        <v>0.12219875561460922</v>
      </c>
      <c r="AB1225" s="1755">
        <f>AVERAGE(AB1115:AB1121,AB1127:AB1133,AB1137:AB1143,AB1148:AB1160,AB1163:AB1169,AB1172:AB1177,AB1181,AB1186:AB1189,AB1195:AB1201,AB1208:AB1214,AB1221:AB1222)</f>
        <v>8.9071783490532727E-2</v>
      </c>
      <c r="AC1225" s="1754">
        <f>AVERAGE(AC1115:AC1121,AC1127:AC1133,AC1137:AC1143,AC1148:AC1160,AC1163:AC1169,AC1172:AC1177,AC1181,AC1186:AC1189,AC1195:AC1201,AC1208:AC1214,AC1221:AC1222)</f>
        <v>4.2583179774920614E-3</v>
      </c>
      <c r="AD1225" s="1754">
        <f>AVERAGE(AD1115:AD1121,AD1127:AD1133,AD1137:AD1143,AD1148:AD1160,AD1163:AD1169,AD1172:AD1177,AD1181,AD1186:AD1189,AD1195:AD1201,AD1208:AD1214,AD1221:AD1222)</f>
        <v>4.4431969178297351E-2</v>
      </c>
      <c r="AE1225" s="2379"/>
      <c r="AF1225" s="2380"/>
      <c r="AG1225" s="2381"/>
      <c r="AH1225" s="1754">
        <f>AVERAGE(AH1115:AH1121,AH1127:AH1133,AH1137:AH1143,AH1148:AH1160,AH1163:AH1169,AH1172:AH1177,AH1181,AH1186:AH1189,AH1195:AH1201,AH1208:AH1214,AH1221:AH1222)</f>
        <v>0.12308823529411764</v>
      </c>
      <c r="AI1225" s="2335" t="s">
        <v>1484</v>
      </c>
      <c r="AJ1225" s="2336"/>
      <c r="AK1225" s="2336"/>
      <c r="AL1225" s="2336"/>
      <c r="AM1225" s="2336"/>
      <c r="AN1225" s="2337"/>
      <c r="AO1225" s="13"/>
      <c r="AP1225" s="13"/>
    </row>
    <row r="1226" spans="1:42" ht="18.75">
      <c r="A1226" s="2382"/>
      <c r="B1226" s="2382"/>
      <c r="C1226" s="2382"/>
      <c r="D1226" s="2382"/>
      <c r="E1226" s="2382"/>
      <c r="F1226" s="2382"/>
      <c r="G1226" s="2382"/>
      <c r="H1226" s="2382"/>
      <c r="I1226" s="2382"/>
      <c r="J1226" s="2382"/>
      <c r="K1226" s="1823"/>
      <c r="L1226" s="1824"/>
      <c r="M1226" s="1824"/>
      <c r="N1226" s="1824"/>
      <c r="O1226" s="1825"/>
      <c r="P1226" s="1825"/>
      <c r="AB1226" s="2375" t="s">
        <v>1485</v>
      </c>
      <c r="AC1226" s="2375"/>
      <c r="AD1226" s="2375"/>
      <c r="AE1226" s="2375"/>
      <c r="AF1226" s="2375"/>
      <c r="AI1226" s="838">
        <f>AVERAGE(AI1122,AI1134,AI1144,AI1161,AI1170,AI1178,S1181,AI1190,AI1202,AI1215,AI1223)</f>
        <v>0.34514907997083372</v>
      </c>
      <c r="AJ1226" s="839">
        <f>SUM(AJ1122,AJ1134,AJ1144,AJ1161,AJ1170,AJ1178,AJ1181,AJ1190,AJ1202,AJ1215,AJ1223)</f>
        <v>150054</v>
      </c>
      <c r="AK1226" s="840">
        <f>SUM(AK1122,AK1134,AK1144,AK1161,AK1170,AK1178,AK1181,AK1190,AK1202,AK1215,AK1223)</f>
        <v>-20561.541356460715</v>
      </c>
      <c r="AL1226" s="841"/>
      <c r="AM1226" s="842">
        <f>SUM(AM1122,AM1134,AM1144,AM1161,AM1170,AM1178,AM1181,AM1190,AM1202,AM1215,AM1223)</f>
        <v>0.99999999999999978</v>
      </c>
      <c r="AN1226" s="842">
        <f>SUM(AN1122,AN1134,AN1144,AN1161,AN1170,AN1178,AN1181,AN1190,AN1202,AN1215,AN1223)</f>
        <v>0.99999999999999978</v>
      </c>
      <c r="AO1226" s="13"/>
      <c r="AP1226" s="13"/>
    </row>
    <row r="1227" spans="1:42">
      <c r="A1227" s="187"/>
      <c r="J1227" s="532"/>
      <c r="K1227" s="533"/>
      <c r="N1227" s="1756"/>
      <c r="AO1227" s="13"/>
      <c r="AP1227" s="13"/>
    </row>
    <row r="1228" spans="1:42" ht="18.75">
      <c r="A1228" s="834" t="s">
        <v>153</v>
      </c>
      <c r="J1228" s="532"/>
      <c r="K1228" s="533"/>
      <c r="N1228" s="1756"/>
      <c r="AO1228" s="13"/>
      <c r="AP1228" s="13"/>
    </row>
    <row r="1229" spans="1:42">
      <c r="A1229" s="749" t="s">
        <v>1</v>
      </c>
      <c r="D1229" s="157"/>
      <c r="J1229" s="532"/>
      <c r="K1229" s="533"/>
      <c r="N1229" s="1756"/>
      <c r="AO1229" s="13"/>
      <c r="AP1229" s="13"/>
    </row>
    <row r="1230" spans="1:42">
      <c r="A1230" s="2343" t="s">
        <v>565</v>
      </c>
      <c r="B1230" s="2343"/>
      <c r="C1230" s="2343"/>
      <c r="D1230" s="2343"/>
      <c r="E1230" s="2343"/>
      <c r="F1230" s="621" t="s">
        <v>1077</v>
      </c>
      <c r="G1230" s="158"/>
      <c r="H1230" s="159"/>
      <c r="I1230" s="160"/>
      <c r="J1230" s="541"/>
      <c r="K1230" s="533"/>
      <c r="N1230" s="1756"/>
      <c r="AO1230" s="13"/>
      <c r="AP1230" s="13"/>
    </row>
    <row r="1231" spans="1:42">
      <c r="A1231" s="749" t="s">
        <v>2</v>
      </c>
      <c r="D1231" s="157"/>
      <c r="E1231" s="157"/>
      <c r="J1231" s="532"/>
      <c r="K1231" s="533"/>
      <c r="N1231" s="1756"/>
      <c r="AO1231" s="13"/>
      <c r="AP1231" s="13"/>
    </row>
    <row r="1232" spans="1:42">
      <c r="A1232" s="187" t="s">
        <v>154</v>
      </c>
      <c r="B1232" s="156"/>
      <c r="D1232" s="157"/>
      <c r="E1232" s="157"/>
      <c r="J1232" s="532"/>
      <c r="K1232" s="533"/>
      <c r="N1232" s="1756"/>
      <c r="AO1232" s="13"/>
      <c r="AP1232" s="13"/>
    </row>
    <row r="1233" spans="1:42">
      <c r="A1233" s="2343" t="s">
        <v>564</v>
      </c>
      <c r="B1233" s="2343"/>
      <c r="C1233" s="2343"/>
      <c r="D1233" s="2343"/>
      <c r="E1233" s="2343"/>
      <c r="F1233" s="2343"/>
      <c r="J1233" s="532"/>
      <c r="K1233" s="533"/>
      <c r="N1233" s="1756"/>
      <c r="AO1233" s="13"/>
      <c r="AP1233" s="13"/>
    </row>
    <row r="1234" spans="1:42">
      <c r="A1234" s="187" t="s">
        <v>1486</v>
      </c>
      <c r="B1234" s="1840"/>
      <c r="C1234" s="1840"/>
      <c r="D1234" s="1840"/>
      <c r="E1234" s="1840"/>
      <c r="F1234" s="1840"/>
      <c r="G1234" s="1840"/>
      <c r="H1234" s="623"/>
      <c r="I1234" s="624"/>
      <c r="J1234" s="624"/>
      <c r="K1234" s="533"/>
      <c r="N1234" s="1756"/>
      <c r="U1234" s="1453">
        <v>1.3149999999999999</v>
      </c>
      <c r="W1234" s="1026" t="s">
        <v>1251</v>
      </c>
      <c r="X1234" s="1026">
        <f>$C$22</f>
        <v>0.45</v>
      </c>
      <c r="AO1234" s="13"/>
      <c r="AP1234" s="13"/>
    </row>
    <row r="1235" spans="1:42">
      <c r="A1235" s="749" t="s">
        <v>5</v>
      </c>
      <c r="D1235" s="157"/>
      <c r="E1235" s="157"/>
      <c r="J1235" s="532"/>
      <c r="K1235" s="533"/>
      <c r="N1235" s="1756"/>
      <c r="W1235" s="1026" t="s">
        <v>1252</v>
      </c>
      <c r="X1235" s="1026">
        <v>0.47</v>
      </c>
      <c r="AO1235" s="13"/>
      <c r="AP1235" s="13"/>
    </row>
    <row r="1236" spans="1:42">
      <c r="A1236" s="751" t="s">
        <v>131</v>
      </c>
      <c r="B1236" s="156"/>
      <c r="D1236" s="157"/>
      <c r="E1236" s="157"/>
      <c r="J1236" s="532"/>
      <c r="K1236" s="533"/>
      <c r="N1236" s="1756"/>
      <c r="AO1236" s="13"/>
      <c r="AP1236" s="13"/>
    </row>
    <row r="1237" spans="1:42">
      <c r="A1237" s="751" t="s">
        <v>603</v>
      </c>
      <c r="B1237" s="162"/>
      <c r="D1237" s="157"/>
      <c r="E1237" s="157"/>
      <c r="J1237" s="532"/>
      <c r="K1237" s="533"/>
      <c r="N1237" s="1756"/>
      <c r="AO1237" s="13"/>
      <c r="AP1237" s="13"/>
    </row>
    <row r="1238" spans="1:42" ht="15.75" thickBot="1">
      <c r="A1238" s="149" t="s">
        <v>155</v>
      </c>
      <c r="B1238" s="157"/>
      <c r="C1238" s="157" t="s">
        <v>744</v>
      </c>
      <c r="J1238" s="532"/>
      <c r="K1238" s="1850" t="s">
        <v>1487</v>
      </c>
      <c r="L1238" s="1850"/>
      <c r="M1238" s="1850"/>
      <c r="N1238" s="898"/>
      <c r="O1238" s="899"/>
      <c r="P1238" s="459"/>
      <c r="U1238" s="309"/>
      <c r="V1238" s="309"/>
      <c r="W1238" s="309"/>
      <c r="X1238" s="309"/>
      <c r="Y1238" s="309"/>
      <c r="Z1238" s="346">
        <v>0.38</v>
      </c>
      <c r="AA1238" s="346">
        <v>0.25</v>
      </c>
      <c r="AB1238" s="628">
        <v>0.09</v>
      </c>
      <c r="AC1238" s="628">
        <v>0.18</v>
      </c>
      <c r="AD1238" s="585"/>
      <c r="AE1238" s="188"/>
      <c r="AF1238" s="188"/>
      <c r="AG1238" s="1866"/>
      <c r="AH1238" s="1851"/>
      <c r="AO1238" s="13"/>
      <c r="AP1238" s="13"/>
    </row>
    <row r="1239" spans="1:42" ht="60.75" thickBot="1">
      <c r="A1239" s="187"/>
      <c r="B1239" s="189" t="s">
        <v>10</v>
      </c>
      <c r="C1239" s="190" t="s">
        <v>11</v>
      </c>
      <c r="D1239" s="190" t="s">
        <v>12</v>
      </c>
      <c r="E1239" s="190" t="s">
        <v>13</v>
      </c>
      <c r="F1239" s="190" t="s">
        <v>14</v>
      </c>
      <c r="G1239" s="191" t="s">
        <v>15</v>
      </c>
      <c r="H1239" s="347" t="s">
        <v>1090</v>
      </c>
      <c r="I1239" s="348">
        <f>$C$22</f>
        <v>0.45</v>
      </c>
      <c r="J1239" s="873">
        <f>$C$22</f>
        <v>0.45</v>
      </c>
      <c r="K1239" s="601" t="s">
        <v>15</v>
      </c>
      <c r="L1239" s="315" t="s">
        <v>12</v>
      </c>
      <c r="M1239" s="316" t="s">
        <v>1091</v>
      </c>
      <c r="N1239" s="605" t="s">
        <v>993</v>
      </c>
      <c r="O1239" s="1153" t="s">
        <v>1092</v>
      </c>
      <c r="P1239" s="602" t="s">
        <v>1092</v>
      </c>
      <c r="Q1239" s="875" t="s">
        <v>1093</v>
      </c>
      <c r="R1239" s="876" t="s">
        <v>1094</v>
      </c>
      <c r="S1239" s="1126" t="s">
        <v>1095</v>
      </c>
      <c r="T1239" s="1376" t="s">
        <v>1095</v>
      </c>
      <c r="U1239" s="204" t="s">
        <v>1096</v>
      </c>
      <c r="V1239" s="205" t="s">
        <v>1093</v>
      </c>
      <c r="W1239" s="206" t="s">
        <v>1094</v>
      </c>
      <c r="X1239" s="207" t="s">
        <v>1097</v>
      </c>
      <c r="Y1239" s="208">
        <f>$X$1235</f>
        <v>0.47</v>
      </c>
      <c r="Z1239" s="207" t="s">
        <v>1098</v>
      </c>
      <c r="AA1239" s="209" t="s">
        <v>1099</v>
      </c>
      <c r="AB1239" s="209" t="s">
        <v>1100</v>
      </c>
      <c r="AC1239" s="210" t="s">
        <v>1092</v>
      </c>
      <c r="AD1239" s="211" t="s">
        <v>1101</v>
      </c>
      <c r="AE1239" s="212" t="s">
        <v>1102</v>
      </c>
      <c r="AF1239" s="208" t="s">
        <v>1103</v>
      </c>
      <c r="AG1239" s="1867" t="s">
        <v>1104</v>
      </c>
      <c r="AH1239" s="213" t="s">
        <v>1105</v>
      </c>
      <c r="AI1239" s="220" t="s">
        <v>1106</v>
      </c>
      <c r="AJ1239" s="483" t="s">
        <v>1107</v>
      </c>
      <c r="AK1239" s="484" t="s">
        <v>1108</v>
      </c>
      <c r="AL1239" s="221" t="s">
        <v>1109</v>
      </c>
      <c r="AM1239" s="221" t="s">
        <v>1175</v>
      </c>
      <c r="AN1239" s="221" t="s">
        <v>1176</v>
      </c>
      <c r="AO1239" s="13"/>
      <c r="AP1239" s="13"/>
    </row>
    <row r="1240" spans="1:42" ht="15.75">
      <c r="A1240" s="187"/>
      <c r="B1240" s="657" t="s">
        <v>458</v>
      </c>
      <c r="C1240" s="925" t="s">
        <v>376</v>
      </c>
      <c r="D1240" s="926">
        <v>51</v>
      </c>
      <c r="E1240" s="926">
        <v>10</v>
      </c>
      <c r="F1240" s="926">
        <v>200</v>
      </c>
      <c r="G1240" s="433">
        <v>62</v>
      </c>
      <c r="H1240" s="453">
        <f>G1240*(1+$H$33)</f>
        <v>66.34</v>
      </c>
      <c r="I1240" s="453">
        <f>H1240-H1240*$J$1239</f>
        <v>36.487000000000002</v>
      </c>
      <c r="J1240" s="1567">
        <f>G1240-G1240*$J$1239</f>
        <v>34.099999999999994</v>
      </c>
      <c r="K1240" s="1007">
        <v>73</v>
      </c>
      <c r="L1240" s="929">
        <v>49</v>
      </c>
      <c r="M1240" s="1516">
        <f t="shared" ref="M1240:M1246" si="861">L1240/D1240*100%</f>
        <v>0.96078431372549022</v>
      </c>
      <c r="N1240" s="1768">
        <f>K1240-(K1240*$O$33)</f>
        <v>36.5</v>
      </c>
      <c r="O1240" s="1510">
        <f t="shared" ref="O1240:O1246" si="862">((N1240/J1240)-1)*100%</f>
        <v>7.0381231671554412E-2</v>
      </c>
      <c r="P1240" s="472">
        <f>((N1240/I1240)-1)*100%</f>
        <v>3.5629128182645964E-4</v>
      </c>
      <c r="Q1240" s="1012">
        <v>0.73</v>
      </c>
      <c r="R1240" s="496">
        <f t="shared" ref="R1240:R1246" si="863">Q1240*$R$33</f>
        <v>34.334090000000003</v>
      </c>
      <c r="S1240" s="1778">
        <f t="shared" ref="S1240:S1246" si="864">((J1240-R1240)/J1240)*100%</f>
        <v>-6.8648093841644879E-3</v>
      </c>
      <c r="T1240" s="696">
        <f>((I1240-R1240)/I1240)*100%</f>
        <v>5.9004851042837134E-2</v>
      </c>
      <c r="U1240" s="1358">
        <v>0.57499999999999996</v>
      </c>
      <c r="V1240" s="1359">
        <f>U1240*$U$1234</f>
        <v>0.75612499999999994</v>
      </c>
      <c r="W1240" s="1359">
        <f t="shared" ref="W1240:W1246" si="865">V1240*$R$33</f>
        <v>35.562827124999998</v>
      </c>
      <c r="X1240" s="1360">
        <f>(ROUND(W1240/(1-$AB$1238),0))</f>
        <v>39</v>
      </c>
      <c r="Y1240" s="1359">
        <f>Z1240*(1-$X$1235)</f>
        <v>37.630000000000003</v>
      </c>
      <c r="Z1240" s="1360">
        <f>ROUND(X1240/(1-$X$1234),0)</f>
        <v>71</v>
      </c>
      <c r="AA1240" s="1361">
        <f t="shared" ref="AA1240:AA1246" si="866">((X1240-W1240)/X1240)*100%</f>
        <v>8.8132637820512866E-2</v>
      </c>
      <c r="AB1240" s="1361">
        <f t="shared" ref="AB1240:AB1246" si="867">((Y1240-W1240)/Y1240)*100%</f>
        <v>5.4934171538666067E-2</v>
      </c>
      <c r="AC1240" s="1362">
        <f t="shared" ref="AC1240:AC1246" si="868">((N1240/Y1240)-1)*100%</f>
        <v>-3.002923199574814E-2</v>
      </c>
      <c r="AD1240" s="1669">
        <f t="shared" ref="AD1240:AD1246" si="869">((N1240*0.96-W1240)/(N1240*0.96))*100%</f>
        <v>-1.4920865439497694E-2</v>
      </c>
      <c r="AE1240" s="261">
        <f t="shared" ref="AE1240:AE1246" si="870">N1240/$R$33</f>
        <v>0.7760508579082771</v>
      </c>
      <c r="AF1240" s="1359">
        <f>(V1240/(1-$AB$1238))</f>
        <v>0.83090659340659334</v>
      </c>
      <c r="AG1240" s="1896">
        <v>1.51</v>
      </c>
      <c r="AH1240" s="1361">
        <f t="shared" ref="AH1240:AH1246" si="871">((AF1240-V1240)/AF1240)*100%</f>
        <v>9.0000000000000011E-2</v>
      </c>
      <c r="AI1240" s="65">
        <f>AJ1240/$AJ$1247</f>
        <v>0.47559905812826075</v>
      </c>
      <c r="AJ1240" s="399">
        <v>10301</v>
      </c>
      <c r="AK1240" s="400">
        <f t="shared" ref="AK1240:AK1246" si="872">Q1240*S1240*AJ1240</f>
        <v>-51.621513070383223</v>
      </c>
      <c r="AL1240" s="921">
        <f>AK1240/$AK$1247</f>
        <v>-4.9622546397140546E-2</v>
      </c>
      <c r="AM1240" s="65">
        <f>AJ1240/$AJ$1359</f>
        <v>0.13357452216084442</v>
      </c>
      <c r="AN1240" s="65">
        <f>AK1240/$AK$1359</f>
        <v>-5.5363472012034138E-3</v>
      </c>
      <c r="AO1240" s="13"/>
      <c r="AP1240" s="13"/>
    </row>
    <row r="1241" spans="1:42" ht="15.75">
      <c r="A1241" s="271"/>
      <c r="B1241" s="699" t="s">
        <v>459</v>
      </c>
      <c r="C1241" s="250" t="s">
        <v>378</v>
      </c>
      <c r="D1241" s="251">
        <v>68</v>
      </c>
      <c r="E1241" s="251">
        <v>10</v>
      </c>
      <c r="F1241" s="251">
        <v>150</v>
      </c>
      <c r="G1241" s="328">
        <v>70</v>
      </c>
      <c r="H1241" s="453">
        <f t="shared" ref="H1241:H1246" si="873">G1241*(1+$H$33)</f>
        <v>74.900000000000006</v>
      </c>
      <c r="I1241" s="453">
        <f t="shared" ref="I1241:I1246" si="874">H1241-H1241*$J$1239</f>
        <v>41.195</v>
      </c>
      <c r="J1241" s="1045">
        <f t="shared" ref="J1241:J1246" si="875">G1241-G1241*$J$1239</f>
        <v>38.5</v>
      </c>
      <c r="K1241" s="912">
        <v>99</v>
      </c>
      <c r="L1241" s="322">
        <v>68</v>
      </c>
      <c r="M1241" s="335">
        <f t="shared" si="861"/>
        <v>1</v>
      </c>
      <c r="N1241" s="1767">
        <f t="shared" ref="N1241:N1246" si="876">K1241-(K1241*$O$33)</f>
        <v>49.5</v>
      </c>
      <c r="O1241" s="469">
        <f t="shared" si="862"/>
        <v>0.28571428571428581</v>
      </c>
      <c r="P1241" s="472">
        <f t="shared" ref="P1241:P1246" si="877">((N1241/I1241)-1)*100%</f>
        <v>0.20160213618157541</v>
      </c>
      <c r="Q1241" s="336">
        <v>0.89000000000000012</v>
      </c>
      <c r="R1241" s="382">
        <f t="shared" si="863"/>
        <v>41.859370000000006</v>
      </c>
      <c r="S1241" s="918">
        <f t="shared" si="864"/>
        <v>-8.7256363636363785E-2</v>
      </c>
      <c r="T1241" s="696">
        <f t="shared" ref="T1241:T1246" si="878">((I1241-R1241)/I1241)*100%</f>
        <v>-1.6127442650807264E-2</v>
      </c>
      <c r="U1241" s="1358">
        <v>0.751</v>
      </c>
      <c r="V1241" s="1359">
        <f t="shared" ref="V1241:V1246" si="879">U1241*$U$1234</f>
        <v>0.98756499999999992</v>
      </c>
      <c r="W1241" s="1359">
        <f t="shared" si="865"/>
        <v>46.448144644999999</v>
      </c>
      <c r="X1241" s="1360">
        <f>(ROUND(W1241/(1-$AB$1238),0))</f>
        <v>51</v>
      </c>
      <c r="Y1241" s="1359">
        <f t="shared" ref="Y1241:Y1246" si="880">Z1241*(1-$X$1235)</f>
        <v>49.29</v>
      </c>
      <c r="Z1241" s="1360">
        <f t="shared" ref="Z1241:Z1246" si="881">ROUND(X1241/(1-$X$1234),0)</f>
        <v>93</v>
      </c>
      <c r="AA1241" s="1361">
        <f t="shared" si="866"/>
        <v>8.9252065784313744E-2</v>
      </c>
      <c r="AB1241" s="1361">
        <f t="shared" si="867"/>
        <v>5.7655819740312433E-2</v>
      </c>
      <c r="AC1241" s="1696">
        <f t="shared" si="868"/>
        <v>4.2604990870358517E-3</v>
      </c>
      <c r="AD1241" s="1669">
        <f t="shared" si="869"/>
        <v>2.2555878682659868E-2</v>
      </c>
      <c r="AE1241" s="261">
        <f t="shared" si="870"/>
        <v>1.0524525333276635</v>
      </c>
      <c r="AF1241" s="1359">
        <f>(V1241/(1-$AB$1238))</f>
        <v>1.0852362637362636</v>
      </c>
      <c r="AG1241" s="1896">
        <v>1.97</v>
      </c>
      <c r="AH1241" s="1361">
        <f t="shared" si="871"/>
        <v>8.9999999999999955E-2</v>
      </c>
      <c r="AI1241" s="77">
        <f t="shared" ref="AI1241:AI1246" si="882">AJ1241/$AJ$1247</f>
        <v>1.8421903134955446E-2</v>
      </c>
      <c r="AJ1241" s="333">
        <v>399</v>
      </c>
      <c r="AK1241" s="270">
        <f t="shared" si="872"/>
        <v>-30.985607290909151</v>
      </c>
      <c r="AL1241" s="506">
        <f t="shared" ref="AL1241:AL1246" si="883">AK1241/$AK$1247</f>
        <v>-2.978573551961369E-2</v>
      </c>
      <c r="AM1241" s="77">
        <f t="shared" ref="AM1241:AM1246" si="884">AJ1241/$AJ$1359</f>
        <v>5.1738893643507354E-3</v>
      </c>
      <c r="AN1241" s="77">
        <f t="shared" ref="AN1241:AN1246" si="885">AK1241/$AK$1359</f>
        <v>-3.3231703218136502E-3</v>
      </c>
      <c r="AO1241" s="13"/>
      <c r="AP1241" s="13"/>
    </row>
    <row r="1242" spans="1:42" ht="15.75">
      <c r="A1242" s="187"/>
      <c r="B1242" s="699" t="s">
        <v>460</v>
      </c>
      <c r="C1242" s="250" t="s">
        <v>380</v>
      </c>
      <c r="D1242" s="251">
        <v>60</v>
      </c>
      <c r="E1242" s="251">
        <v>10</v>
      </c>
      <c r="F1242" s="251">
        <v>150</v>
      </c>
      <c r="G1242" s="328">
        <v>86</v>
      </c>
      <c r="H1242" s="453">
        <f t="shared" si="873"/>
        <v>92.02000000000001</v>
      </c>
      <c r="I1242" s="453">
        <f t="shared" si="874"/>
        <v>50.611000000000004</v>
      </c>
      <c r="J1242" s="1045">
        <f t="shared" si="875"/>
        <v>47.3</v>
      </c>
      <c r="K1242" s="912">
        <v>115</v>
      </c>
      <c r="L1242" s="322">
        <v>58</v>
      </c>
      <c r="M1242" s="323">
        <f t="shared" si="861"/>
        <v>0.96666666666666667</v>
      </c>
      <c r="N1242" s="1767">
        <f t="shared" si="876"/>
        <v>57.5</v>
      </c>
      <c r="O1242" s="469">
        <f t="shared" si="862"/>
        <v>0.21564482029598309</v>
      </c>
      <c r="P1242" s="472">
        <f t="shared" si="877"/>
        <v>0.13611665448222698</v>
      </c>
      <c r="Q1242" s="336">
        <v>0.85</v>
      </c>
      <c r="R1242" s="382">
        <f t="shared" si="863"/>
        <v>39.978050000000003</v>
      </c>
      <c r="S1242" s="918">
        <f t="shared" si="864"/>
        <v>0.1547980972515855</v>
      </c>
      <c r="T1242" s="696">
        <f t="shared" si="878"/>
        <v>0.21009167967437908</v>
      </c>
      <c r="U1242" s="1358">
        <v>0.69299999999999995</v>
      </c>
      <c r="V1242" s="1359">
        <f t="shared" si="879"/>
        <v>0.91129499999999986</v>
      </c>
      <c r="W1242" s="1359">
        <f t="shared" si="865"/>
        <v>42.860937734999993</v>
      </c>
      <c r="X1242" s="1360">
        <f>(ROUND(W1242/(1-$AA$1238),0))</f>
        <v>57</v>
      </c>
      <c r="Y1242" s="1359">
        <f t="shared" si="880"/>
        <v>55.120000000000005</v>
      </c>
      <c r="Z1242" s="1360">
        <f t="shared" si="881"/>
        <v>104</v>
      </c>
      <c r="AA1242" s="1361">
        <f t="shared" si="866"/>
        <v>0.24805372394736855</v>
      </c>
      <c r="AB1242" s="1361">
        <f t="shared" si="867"/>
        <v>0.22240679000362865</v>
      </c>
      <c r="AC1242" s="1696">
        <f t="shared" si="868"/>
        <v>4.3178519593613851E-2</v>
      </c>
      <c r="AD1242" s="1669">
        <f t="shared" si="869"/>
        <v>0.22353373668478269</v>
      </c>
      <c r="AE1242" s="261">
        <f t="shared" si="870"/>
        <v>1.2225458720472859</v>
      </c>
      <c r="AF1242" s="1359">
        <f>(V1242/(1-$AA$1238))</f>
        <v>1.2150599999999998</v>
      </c>
      <c r="AG1242" s="1896">
        <v>2.21</v>
      </c>
      <c r="AH1242" s="1361">
        <f t="shared" si="871"/>
        <v>0.25</v>
      </c>
      <c r="AI1242" s="1395">
        <f t="shared" si="882"/>
        <v>0.21801560552195393</v>
      </c>
      <c r="AJ1242" s="1765">
        <v>4722</v>
      </c>
      <c r="AK1242" s="1766">
        <f t="shared" si="872"/>
        <v>621.31312293868871</v>
      </c>
      <c r="AL1242" s="1459">
        <f t="shared" si="883"/>
        <v>0.59725369204387191</v>
      </c>
      <c r="AM1242" s="1395">
        <f t="shared" si="884"/>
        <v>6.1230841048782382E-2</v>
      </c>
      <c r="AN1242" s="1395">
        <f t="shared" si="885"/>
        <v>6.6635109369277259E-2</v>
      </c>
      <c r="AO1242" s="13"/>
      <c r="AP1242" s="13"/>
    </row>
    <row r="1243" spans="1:42" ht="15.75">
      <c r="A1243" s="187"/>
      <c r="B1243" s="699" t="s">
        <v>461</v>
      </c>
      <c r="C1243" s="250" t="s">
        <v>382</v>
      </c>
      <c r="D1243" s="251">
        <v>73</v>
      </c>
      <c r="E1243" s="251">
        <v>10</v>
      </c>
      <c r="F1243" s="251">
        <v>150</v>
      </c>
      <c r="G1243" s="328">
        <v>80</v>
      </c>
      <c r="H1243" s="453">
        <f t="shared" si="873"/>
        <v>85.600000000000009</v>
      </c>
      <c r="I1243" s="453">
        <f t="shared" si="874"/>
        <v>47.080000000000005</v>
      </c>
      <c r="J1243" s="1045">
        <f t="shared" si="875"/>
        <v>44</v>
      </c>
      <c r="K1243" s="912">
        <v>118</v>
      </c>
      <c r="L1243" s="322">
        <v>71</v>
      </c>
      <c r="M1243" s="385">
        <f t="shared" si="861"/>
        <v>0.9726027397260274</v>
      </c>
      <c r="N1243" s="1767">
        <f t="shared" si="876"/>
        <v>59</v>
      </c>
      <c r="O1243" s="469">
        <f t="shared" si="862"/>
        <v>0.34090909090909083</v>
      </c>
      <c r="P1243" s="472">
        <f t="shared" si="877"/>
        <v>0.25318606627017837</v>
      </c>
      <c r="Q1243" s="336">
        <v>0.99514680483592388</v>
      </c>
      <c r="R1243" s="382">
        <f t="shared" si="863"/>
        <v>46.804739671848012</v>
      </c>
      <c r="S1243" s="918">
        <f t="shared" si="864"/>
        <v>-6.3744083451091171E-2</v>
      </c>
      <c r="T1243" s="696">
        <f t="shared" si="878"/>
        <v>5.8466509802887392E-3</v>
      </c>
      <c r="U1243" s="261">
        <v>0.80800000000000005</v>
      </c>
      <c r="V1243" s="1359">
        <f t="shared" si="879"/>
        <v>1.0625200000000001</v>
      </c>
      <c r="W1243" s="262">
        <f t="shared" si="865"/>
        <v>49.973503160000007</v>
      </c>
      <c r="X1243" s="1360">
        <f>(ROUND(W1243/(1-$AC$1238),0))</f>
        <v>61</v>
      </c>
      <c r="Y1243" s="1359">
        <f t="shared" si="880"/>
        <v>58.830000000000005</v>
      </c>
      <c r="Z1243" s="1360">
        <f t="shared" si="881"/>
        <v>111</v>
      </c>
      <c r="AA1243" s="264">
        <f t="shared" si="866"/>
        <v>0.18076224327868842</v>
      </c>
      <c r="AB1243" s="264">
        <f t="shared" si="867"/>
        <v>0.15054388645249017</v>
      </c>
      <c r="AC1243" s="1675">
        <f t="shared" si="868"/>
        <v>2.8896821349650992E-3</v>
      </c>
      <c r="AD1243" s="266">
        <f t="shared" si="869"/>
        <v>0.11769944985875695</v>
      </c>
      <c r="AE1243" s="261">
        <f t="shared" si="870"/>
        <v>1.2544383730572151</v>
      </c>
      <c r="AF1243" s="1359">
        <f>(V1243/(1-$AC$1238))</f>
        <v>1.2957560975609757</v>
      </c>
      <c r="AG1243" s="1896">
        <v>2.36</v>
      </c>
      <c r="AH1243" s="264">
        <f t="shared" si="871"/>
        <v>0.17999999999999994</v>
      </c>
      <c r="AI1243" s="77">
        <f t="shared" si="882"/>
        <v>0.11122397155916709</v>
      </c>
      <c r="AJ1243" s="333">
        <v>2409</v>
      </c>
      <c r="AK1243" s="270">
        <f t="shared" si="872"/>
        <v>-152.81424282527681</v>
      </c>
      <c r="AL1243" s="506">
        <f t="shared" si="883"/>
        <v>-0.14689673749783613</v>
      </c>
      <c r="AM1243" s="77">
        <f t="shared" si="884"/>
        <v>3.1237843305064964E-2</v>
      </c>
      <c r="AN1243" s="77">
        <f t="shared" si="885"/>
        <v>-1.638914970229987E-2</v>
      </c>
      <c r="AO1243" s="13"/>
      <c r="AP1243" s="13"/>
    </row>
    <row r="1244" spans="1:42" ht="15.75">
      <c r="A1244" s="187"/>
      <c r="B1244" s="699" t="s">
        <v>462</v>
      </c>
      <c r="C1244" s="250" t="s">
        <v>384</v>
      </c>
      <c r="D1244" s="251">
        <v>85</v>
      </c>
      <c r="E1244" s="251">
        <v>5</v>
      </c>
      <c r="F1244" s="251">
        <v>100</v>
      </c>
      <c r="G1244" s="328">
        <v>146</v>
      </c>
      <c r="H1244" s="453">
        <f t="shared" si="873"/>
        <v>156.22</v>
      </c>
      <c r="I1244" s="453">
        <f t="shared" si="874"/>
        <v>85.920999999999992</v>
      </c>
      <c r="J1244" s="1045">
        <f t="shared" si="875"/>
        <v>80.3</v>
      </c>
      <c r="K1244" s="912">
        <v>198</v>
      </c>
      <c r="L1244" s="322">
        <v>90</v>
      </c>
      <c r="M1244" s="335">
        <f t="shared" si="861"/>
        <v>1.0588235294117647</v>
      </c>
      <c r="N1244" s="1767">
        <f t="shared" si="876"/>
        <v>99</v>
      </c>
      <c r="O1244" s="469">
        <f t="shared" si="862"/>
        <v>0.23287671232876717</v>
      </c>
      <c r="P1244" s="472">
        <f t="shared" si="877"/>
        <v>0.15222122647548342</v>
      </c>
      <c r="Q1244" s="336">
        <v>1.1836574746008708</v>
      </c>
      <c r="R1244" s="382">
        <f t="shared" si="863"/>
        <v>55.670962002902755</v>
      </c>
      <c r="S1244" s="918">
        <f t="shared" si="864"/>
        <v>0.30671280195637912</v>
      </c>
      <c r="T1244" s="696">
        <f t="shared" si="878"/>
        <v>0.35206803921156926</v>
      </c>
      <c r="U1244" s="261">
        <v>0.876</v>
      </c>
      <c r="V1244" s="1359">
        <f t="shared" si="879"/>
        <v>1.15194</v>
      </c>
      <c r="W1244" s="262">
        <f t="shared" si="865"/>
        <v>54.179194019999997</v>
      </c>
      <c r="X1244" s="1360">
        <f>(ROUND(W1244/(1-$Z$1238),0))</f>
        <v>87</v>
      </c>
      <c r="Y1244" s="1359">
        <f t="shared" si="880"/>
        <v>83.740000000000009</v>
      </c>
      <c r="Z1244" s="1360">
        <f t="shared" si="881"/>
        <v>158</v>
      </c>
      <c r="AA1244" s="264">
        <f t="shared" si="866"/>
        <v>0.37725064344827591</v>
      </c>
      <c r="AB1244" s="264">
        <f t="shared" si="867"/>
        <v>0.35300699761165522</v>
      </c>
      <c r="AC1244" s="1675">
        <f t="shared" si="868"/>
        <v>0.18223071411511804</v>
      </c>
      <c r="AD1244" s="266">
        <f t="shared" si="869"/>
        <v>0.42993272285353534</v>
      </c>
      <c r="AE1244" s="261">
        <f t="shared" si="870"/>
        <v>2.1049050666553271</v>
      </c>
      <c r="AF1244" s="1359">
        <f>(V1244/(1-$Z$1238))</f>
        <v>1.8579677419354839</v>
      </c>
      <c r="AG1244" s="1896">
        <v>3.38</v>
      </c>
      <c r="AH1244" s="264">
        <f t="shared" si="871"/>
        <v>0.38</v>
      </c>
      <c r="AI1244" s="77">
        <f t="shared" si="882"/>
        <v>7.9782076734844637E-2</v>
      </c>
      <c r="AJ1244" s="333">
        <v>1728</v>
      </c>
      <c r="AK1244" s="270">
        <f t="shared" si="872"/>
        <v>627.3381322220165</v>
      </c>
      <c r="AL1244" s="506">
        <f t="shared" si="883"/>
        <v>0.60304539176211724</v>
      </c>
      <c r="AM1244" s="77">
        <f t="shared" si="884"/>
        <v>2.2407220104255814E-2</v>
      </c>
      <c r="AN1244" s="77">
        <f t="shared" si="885"/>
        <v>6.728128460318597E-2</v>
      </c>
      <c r="AO1244" s="13"/>
      <c r="AP1244" s="13"/>
    </row>
    <row r="1245" spans="1:42" ht="15.75">
      <c r="A1245" s="187"/>
      <c r="B1245" s="699" t="s">
        <v>463</v>
      </c>
      <c r="C1245" s="250" t="s">
        <v>386</v>
      </c>
      <c r="D1245" s="251">
        <v>122</v>
      </c>
      <c r="E1245" s="251">
        <v>5</v>
      </c>
      <c r="F1245" s="251">
        <v>80</v>
      </c>
      <c r="G1245" s="328">
        <v>140</v>
      </c>
      <c r="H1245" s="453">
        <f t="shared" si="873"/>
        <v>149.80000000000001</v>
      </c>
      <c r="I1245" s="453">
        <f t="shared" si="874"/>
        <v>82.39</v>
      </c>
      <c r="J1245" s="1045">
        <f t="shared" si="875"/>
        <v>77</v>
      </c>
      <c r="K1245" s="912">
        <v>195</v>
      </c>
      <c r="L1245" s="322">
        <v>127</v>
      </c>
      <c r="M1245" s="335">
        <f t="shared" si="861"/>
        <v>1.040983606557377</v>
      </c>
      <c r="N1245" s="1767">
        <f t="shared" si="876"/>
        <v>97.5</v>
      </c>
      <c r="O1245" s="469">
        <f t="shared" si="862"/>
        <v>0.26623376623376616</v>
      </c>
      <c r="P1245" s="472">
        <f t="shared" si="877"/>
        <v>0.18339604320912728</v>
      </c>
      <c r="Q1245" s="336">
        <v>1.64</v>
      </c>
      <c r="R1245" s="382">
        <f t="shared" si="863"/>
        <v>77.134119999999996</v>
      </c>
      <c r="S1245" s="918">
        <f t="shared" si="864"/>
        <v>-1.7418181818181272E-3</v>
      </c>
      <c r="T1245" s="696">
        <f t="shared" si="878"/>
        <v>6.3792693288020452E-2</v>
      </c>
      <c r="U1245" s="261">
        <v>1.33</v>
      </c>
      <c r="V1245" s="1359">
        <f t="shared" si="879"/>
        <v>1.74895</v>
      </c>
      <c r="W1245" s="262">
        <f t="shared" si="865"/>
        <v>82.258365350000005</v>
      </c>
      <c r="X1245" s="1360">
        <f>(ROUND(W1245/(1-$AC$1238),0))</f>
        <v>100</v>
      </c>
      <c r="Y1245" s="1359">
        <f t="shared" si="880"/>
        <v>96.460000000000008</v>
      </c>
      <c r="Z1245" s="1360">
        <f t="shared" si="881"/>
        <v>182</v>
      </c>
      <c r="AA1245" s="264">
        <f t="shared" si="866"/>
        <v>0.17741634649999993</v>
      </c>
      <c r="AB1245" s="264">
        <f t="shared" si="867"/>
        <v>0.14722822568940494</v>
      </c>
      <c r="AC1245" s="1675">
        <f t="shared" si="868"/>
        <v>1.0781671159029615E-2</v>
      </c>
      <c r="AD1245" s="266">
        <f t="shared" si="869"/>
        <v>0.12117131036324776</v>
      </c>
      <c r="AE1245" s="261">
        <f t="shared" si="870"/>
        <v>2.0730125656453979</v>
      </c>
      <c r="AF1245" s="1359">
        <f>(V1245/(1-$AC$1238))</f>
        <v>2.1328658536585365</v>
      </c>
      <c r="AG1245" s="1896">
        <v>3.88</v>
      </c>
      <c r="AH1245" s="264">
        <f t="shared" si="871"/>
        <v>0.17999999999999997</v>
      </c>
      <c r="AI1245" s="77">
        <f t="shared" si="882"/>
        <v>9.0539729442725883E-2</v>
      </c>
      <c r="AJ1245" s="333">
        <v>1961</v>
      </c>
      <c r="AK1245" s="270">
        <f t="shared" si="872"/>
        <v>-5.6017569454543699</v>
      </c>
      <c r="AL1245" s="506">
        <f t="shared" si="883"/>
        <v>-5.3848372005739463E-3</v>
      </c>
      <c r="AM1245" s="77">
        <f t="shared" si="884"/>
        <v>2.5428564018776422E-2</v>
      </c>
      <c r="AN1245" s="77">
        <f t="shared" si="885"/>
        <v>-6.0078191324037936E-4</v>
      </c>
      <c r="AO1245" s="13"/>
      <c r="AP1245" s="13"/>
    </row>
    <row r="1246" spans="1:42" ht="16.5" thickBot="1">
      <c r="A1246" s="187"/>
      <c r="B1246" s="699" t="s">
        <v>464</v>
      </c>
      <c r="C1246" s="250" t="s">
        <v>388</v>
      </c>
      <c r="D1246" s="251">
        <v>160</v>
      </c>
      <c r="E1246" s="251">
        <v>5</v>
      </c>
      <c r="F1246" s="251">
        <v>50</v>
      </c>
      <c r="G1246" s="328">
        <v>190</v>
      </c>
      <c r="H1246" s="453">
        <f t="shared" si="873"/>
        <v>203.3</v>
      </c>
      <c r="I1246" s="453">
        <f t="shared" si="874"/>
        <v>111.815</v>
      </c>
      <c r="J1246" s="1045">
        <f t="shared" si="875"/>
        <v>104.5</v>
      </c>
      <c r="K1246" s="912">
        <v>267</v>
      </c>
      <c r="L1246" s="322">
        <v>136</v>
      </c>
      <c r="M1246" s="385">
        <f t="shared" si="861"/>
        <v>0.85</v>
      </c>
      <c r="N1246" s="1767">
        <f t="shared" si="876"/>
        <v>133.5</v>
      </c>
      <c r="O1246" s="469">
        <f t="shared" si="862"/>
        <v>0.27751196172248793</v>
      </c>
      <c r="P1246" s="475">
        <f t="shared" si="877"/>
        <v>0.19393641282475516</v>
      </c>
      <c r="Q1246" s="336">
        <v>1.9548235294117648</v>
      </c>
      <c r="R1246" s="382">
        <f t="shared" si="863"/>
        <v>91.941215058823545</v>
      </c>
      <c r="S1246" s="918">
        <f t="shared" si="864"/>
        <v>0.12017976020264551</v>
      </c>
      <c r="T1246" s="919">
        <f t="shared" si="878"/>
        <v>0.17773809364733223</v>
      </c>
      <c r="U1246" s="261">
        <v>1.6479999999999999</v>
      </c>
      <c r="V1246" s="1359">
        <f t="shared" si="879"/>
        <v>2.1671199999999997</v>
      </c>
      <c r="W1246" s="262">
        <f t="shared" si="865"/>
        <v>101.92615495999999</v>
      </c>
      <c r="X1246" s="1360">
        <f>(ROUND(W1246/(1-$AA$1238),0))</f>
        <v>136</v>
      </c>
      <c r="Y1246" s="1359">
        <f t="shared" si="880"/>
        <v>130.91</v>
      </c>
      <c r="Z1246" s="1360">
        <f t="shared" si="881"/>
        <v>247</v>
      </c>
      <c r="AA1246" s="264">
        <f t="shared" si="866"/>
        <v>0.2505429782352942</v>
      </c>
      <c r="AB1246" s="264">
        <f t="shared" si="867"/>
        <v>0.22140283431365065</v>
      </c>
      <c r="AC1246" s="1675">
        <f t="shared" si="868"/>
        <v>1.9784584829272145E-2</v>
      </c>
      <c r="AD1246" s="266">
        <f t="shared" si="869"/>
        <v>0.20469604431960056</v>
      </c>
      <c r="AE1246" s="261">
        <f t="shared" si="870"/>
        <v>2.8384325898836984</v>
      </c>
      <c r="AF1246" s="1359">
        <f>(V1246/(1-$AA$1238))</f>
        <v>2.8894933333333328</v>
      </c>
      <c r="AG1246" s="1896">
        <v>5.25</v>
      </c>
      <c r="AH1246" s="264">
        <f t="shared" si="871"/>
        <v>0.24999999999999997</v>
      </c>
      <c r="AI1246" s="77">
        <f t="shared" si="882"/>
        <v>6.4176554780922476E-3</v>
      </c>
      <c r="AJ1246" s="333">
        <v>139</v>
      </c>
      <c r="AK1246" s="270">
        <f t="shared" si="872"/>
        <v>32.655300997444115</v>
      </c>
      <c r="AL1246" s="506">
        <f t="shared" si="883"/>
        <v>3.1390772809175058E-2</v>
      </c>
      <c r="AM1246" s="77">
        <f t="shared" si="884"/>
        <v>1.8024326357011333E-3</v>
      </c>
      <c r="AN1246" s="77">
        <f t="shared" si="885"/>
        <v>3.5022430286992096E-3</v>
      </c>
      <c r="AO1246" s="13"/>
      <c r="AP1246" s="13"/>
    </row>
    <row r="1247" spans="1:42" ht="15.75" thickBot="1">
      <c r="A1247" s="149" t="s">
        <v>156</v>
      </c>
      <c r="J1247" s="532"/>
      <c r="K1247" s="533"/>
      <c r="N1247" s="1756"/>
      <c r="P1247" s="886"/>
      <c r="Q1247" s="1091"/>
      <c r="R1247" s="1092"/>
      <c r="S1247" s="1092"/>
      <c r="T1247" s="365"/>
      <c r="U1247" s="366"/>
      <c r="V1247" s="366"/>
      <c r="W1247" s="366"/>
      <c r="X1247" s="366"/>
      <c r="Y1247" s="366"/>
      <c r="Z1247" s="366"/>
      <c r="AA1247" s="367"/>
      <c r="AB1247" s="367"/>
      <c r="AC1247" s="367"/>
      <c r="AD1247" s="367">
        <f>AVERAGE(AD1240:AD1246)</f>
        <v>0.15780975390329793</v>
      </c>
      <c r="AE1247" s="366"/>
      <c r="AF1247" s="366"/>
      <c r="AG1247" s="1872"/>
      <c r="AH1247" s="367"/>
      <c r="AI1247" s="512">
        <f>S1240*AI1240+S1241*AI1241+S1242*AI1242+S1243*AI1243+S1244*AI1244+S1245*AI1245+S1246*AI1246</f>
        <v>4.6869958475708302E-2</v>
      </c>
      <c r="AJ1247" s="513">
        <f>SUM(AJ1240:AJ1246)</f>
        <v>21659</v>
      </c>
      <c r="AK1247" s="514">
        <f>SUM(AK1240:AK1246)</f>
        <v>1040.2834360261259</v>
      </c>
      <c r="AM1247" s="307">
        <f>SUM(AM1240:AM1246)</f>
        <v>0.28085531263777586</v>
      </c>
      <c r="AN1247" s="307">
        <f>SUM(AN1240:AN1246)</f>
        <v>0.11156918786260513</v>
      </c>
      <c r="AO1247" s="13"/>
      <c r="AP1247" s="13"/>
    </row>
    <row r="1248" spans="1:42" ht="15.75" thickBot="1">
      <c r="A1248" s="187"/>
      <c r="B1248" s="157"/>
      <c r="C1248" s="157" t="s">
        <v>745</v>
      </c>
      <c r="J1248" s="532"/>
      <c r="K1248" s="1850" t="s">
        <v>1488</v>
      </c>
      <c r="L1248" s="1850"/>
      <c r="M1248" s="1850"/>
      <c r="N1248" s="898"/>
      <c r="O1248" s="899"/>
      <c r="P1248" s="459"/>
      <c r="U1248" s="309"/>
      <c r="V1248" s="309"/>
      <c r="W1248" s="309"/>
      <c r="X1248" s="309"/>
      <c r="Y1248" s="309"/>
      <c r="Z1248" s="309"/>
      <c r="AA1248" s="346">
        <v>0.09</v>
      </c>
      <c r="AB1248" s="628">
        <v>0.08</v>
      </c>
      <c r="AC1248" s="628">
        <v>0.22</v>
      </c>
      <c r="AD1248" s="585">
        <v>0.12</v>
      </c>
      <c r="AE1248" s="188"/>
      <c r="AF1248" s="188"/>
      <c r="AG1248" s="1866"/>
      <c r="AH1248" s="1851"/>
      <c r="AO1248" s="13"/>
      <c r="AP1248" s="13"/>
    </row>
    <row r="1249" spans="1:42" ht="60.75" thickBot="1">
      <c r="A1249" s="187"/>
      <c r="B1249" s="189" t="s">
        <v>10</v>
      </c>
      <c r="C1249" s="190" t="s">
        <v>11</v>
      </c>
      <c r="D1249" s="190" t="s">
        <v>12</v>
      </c>
      <c r="E1249" s="190" t="s">
        <v>13</v>
      </c>
      <c r="F1249" s="190" t="s">
        <v>14</v>
      </c>
      <c r="G1249" s="191" t="s">
        <v>15</v>
      </c>
      <c r="H1249" s="347" t="s">
        <v>1090</v>
      </c>
      <c r="I1249" s="347">
        <f>$C$22</f>
        <v>0.45</v>
      </c>
      <c r="J1249" s="873">
        <f>$C$22</f>
        <v>0.45</v>
      </c>
      <c r="K1249" s="601" t="s">
        <v>15</v>
      </c>
      <c r="L1249" s="315" t="s">
        <v>12</v>
      </c>
      <c r="M1249" s="316" t="s">
        <v>1091</v>
      </c>
      <c r="N1249" s="605" t="s">
        <v>993</v>
      </c>
      <c r="O1249" s="1153" t="s">
        <v>1092</v>
      </c>
      <c r="P1249" s="602" t="s">
        <v>1092</v>
      </c>
      <c r="Q1249" s="875" t="s">
        <v>1093</v>
      </c>
      <c r="R1249" s="876" t="s">
        <v>1094</v>
      </c>
      <c r="S1249" s="1126" t="s">
        <v>1095</v>
      </c>
      <c r="T1249" s="1376" t="s">
        <v>1095</v>
      </c>
      <c r="U1249" s="204" t="s">
        <v>1096</v>
      </c>
      <c r="V1249" s="205" t="s">
        <v>1093</v>
      </c>
      <c r="W1249" s="206" t="s">
        <v>1094</v>
      </c>
      <c r="X1249" s="207" t="s">
        <v>1097</v>
      </c>
      <c r="Y1249" s="208">
        <f>$X$1235</f>
        <v>0.47</v>
      </c>
      <c r="Z1249" s="207" t="s">
        <v>1098</v>
      </c>
      <c r="AA1249" s="209" t="s">
        <v>1099</v>
      </c>
      <c r="AB1249" s="209" t="s">
        <v>1100</v>
      </c>
      <c r="AC1249" s="210" t="s">
        <v>1092</v>
      </c>
      <c r="AD1249" s="211" t="s">
        <v>1101</v>
      </c>
      <c r="AE1249" s="212" t="s">
        <v>1102</v>
      </c>
      <c r="AF1249" s="208" t="s">
        <v>1103</v>
      </c>
      <c r="AG1249" s="1867" t="s">
        <v>1104</v>
      </c>
      <c r="AH1249" s="213" t="s">
        <v>1105</v>
      </c>
      <c r="AI1249" s="220" t="s">
        <v>1106</v>
      </c>
      <c r="AJ1249" s="483" t="s">
        <v>1107</v>
      </c>
      <c r="AK1249" s="484" t="s">
        <v>1108</v>
      </c>
      <c r="AL1249" s="221" t="s">
        <v>1109</v>
      </c>
      <c r="AM1249" s="221" t="s">
        <v>1175</v>
      </c>
      <c r="AN1249" s="221" t="s">
        <v>1176</v>
      </c>
      <c r="AO1249" s="13"/>
      <c r="AP1249" s="13"/>
    </row>
    <row r="1250" spans="1:42" ht="15.75">
      <c r="A1250" s="187"/>
      <c r="B1250" s="699" t="s">
        <v>465</v>
      </c>
      <c r="C1250" s="250" t="s">
        <v>376</v>
      </c>
      <c r="D1250" s="251">
        <v>63</v>
      </c>
      <c r="E1250" s="251">
        <v>10</v>
      </c>
      <c r="F1250" s="251">
        <v>200</v>
      </c>
      <c r="G1250" s="328">
        <v>64</v>
      </c>
      <c r="H1250" s="453">
        <f>G1250*(1+$H$33)</f>
        <v>68.48</v>
      </c>
      <c r="I1250" s="453">
        <f>H1250-H1250*$J$1239</f>
        <v>37.664000000000001</v>
      </c>
      <c r="J1250" s="1045">
        <f>G1250-G1250*$J$1239</f>
        <v>35.200000000000003</v>
      </c>
      <c r="K1250" s="1094">
        <v>84</v>
      </c>
      <c r="L1250" s="322">
        <v>54</v>
      </c>
      <c r="M1250" s="323">
        <f t="shared" ref="M1250:M1256" si="886">L1250/D1250*100%</f>
        <v>0.8571428571428571</v>
      </c>
      <c r="N1250" s="1767">
        <f>K1250-(K1250*$O$33)</f>
        <v>42</v>
      </c>
      <c r="O1250" s="469">
        <f t="shared" ref="O1250:O1256" si="887">((N1250/J1250)-1)*100%</f>
        <v>0.19318181818181812</v>
      </c>
      <c r="P1250" s="472">
        <f>((N1250/I1250)-1)*100%</f>
        <v>0.11512319456244691</v>
      </c>
      <c r="Q1250" s="336">
        <v>0.79929311969839778</v>
      </c>
      <c r="R1250" s="382">
        <f t="shared" ref="R1250:R1256" si="888">Q1250*$R$33</f>
        <v>37.593153298774745</v>
      </c>
      <c r="S1250" s="918">
        <f t="shared" ref="S1250:S1256" si="889">((J1250-R1250)/J1250)*100%</f>
        <v>-6.7987309624282427E-2</v>
      </c>
      <c r="T1250" s="696">
        <f>((I1250-R1250)/I1250)*100%</f>
        <v>1.8810190427266604E-3</v>
      </c>
      <c r="U1250" s="1358">
        <v>0.65700000000000003</v>
      </c>
      <c r="V1250" s="1359">
        <f>U1250*$U$1234</f>
        <v>0.86395500000000003</v>
      </c>
      <c r="W1250" s="1359">
        <f t="shared" ref="W1250:W1256" si="890">V1250*$R$33</f>
        <v>40.634395515000001</v>
      </c>
      <c r="X1250" s="1360">
        <f>(ROUND(W1250/(1-$AB$1248),0))</f>
        <v>44</v>
      </c>
      <c r="Y1250" s="1359">
        <f t="shared" ref="Y1250:Y1256" si="891">Z1250*(1-$X$1235)</f>
        <v>42.400000000000006</v>
      </c>
      <c r="Z1250" s="1360">
        <f t="shared" ref="Z1250:Z1256" si="892">ROUND(X1250/(1-$X$1234),0)</f>
        <v>80</v>
      </c>
      <c r="AA1250" s="1361">
        <f t="shared" ref="AA1250:AA1256" si="893">((X1250-W1250)/X1250)*100%</f>
        <v>7.6491011022727248E-2</v>
      </c>
      <c r="AB1250" s="1361">
        <f t="shared" ref="AB1250:AB1256" si="894">((Y1250-W1250)/Y1250)*100%</f>
        <v>4.1641615212264248E-2</v>
      </c>
      <c r="AC1250" s="1362">
        <f>((N1250/Y1250)-1)*100%</f>
        <v>-9.4339622641510523E-3</v>
      </c>
      <c r="AD1250" s="1669">
        <f>((N1250*0.96-W1250)/(N1250*0.96))*100%</f>
        <v>-7.7975078125000269E-3</v>
      </c>
      <c r="AE1250" s="261">
        <f t="shared" ref="AE1250:AE1256" si="895">N1250/$R$33</f>
        <v>0.89299002827801754</v>
      </c>
      <c r="AF1250" s="1359">
        <f>(V1250/(1-$AB$1248))</f>
        <v>0.9390815217391304</v>
      </c>
      <c r="AG1250" s="1896">
        <v>1.71</v>
      </c>
      <c r="AH1250" s="1361">
        <f t="shared" ref="AH1250:AH1256" si="896">((AF1250-V1250)/AF1250)*100%</f>
        <v>7.9999999999999932E-2</v>
      </c>
      <c r="AI1250" s="77">
        <f>AJ1250/$AJ$1257</f>
        <v>0.36053370786516853</v>
      </c>
      <c r="AJ1250" s="333">
        <v>2567</v>
      </c>
      <c r="AK1250" s="270">
        <f t="shared" ref="AK1250:AK1256" si="897">Q1250*S1250*AJ1250</f>
        <v>-139.4953718739701</v>
      </c>
      <c r="AL1250" s="506">
        <f>AK1250/$AK$1257</f>
        <v>0.54257214998672798</v>
      </c>
      <c r="AM1250" s="77">
        <f>AJ1250/$AJ$1359</f>
        <v>3.3286651624782802E-2</v>
      </c>
      <c r="AN1250" s="77">
        <f>AK1250/$AK$1359</f>
        <v>-1.4960716292881619E-2</v>
      </c>
      <c r="AO1250" s="13"/>
      <c r="AP1250" s="13"/>
    </row>
    <row r="1251" spans="1:42" ht="15.75">
      <c r="A1251" s="187"/>
      <c r="B1251" s="657" t="s">
        <v>466</v>
      </c>
      <c r="C1251" s="925" t="s">
        <v>378</v>
      </c>
      <c r="D1251" s="926">
        <v>89</v>
      </c>
      <c r="E1251" s="926">
        <v>10</v>
      </c>
      <c r="F1251" s="926">
        <v>150</v>
      </c>
      <c r="G1251" s="433">
        <v>100</v>
      </c>
      <c r="H1251" s="453">
        <f t="shared" ref="H1251:H1256" si="898">G1251*(1+$H$33)</f>
        <v>107</v>
      </c>
      <c r="I1251" s="453">
        <f t="shared" ref="I1251:I1256" si="899">H1251-H1251*$J$1239</f>
        <v>58.85</v>
      </c>
      <c r="J1251" s="1567">
        <f t="shared" ref="J1251:J1256" si="900">G1251-G1251*$J$1239</f>
        <v>55</v>
      </c>
      <c r="K1251" s="1568">
        <v>114</v>
      </c>
      <c r="L1251" s="929">
        <v>81</v>
      </c>
      <c r="M1251" s="1516">
        <f t="shared" si="886"/>
        <v>0.9101123595505618</v>
      </c>
      <c r="N1251" s="1768">
        <f t="shared" ref="N1251:N1256" si="901">K1251-(K1251*$O$33)</f>
        <v>57</v>
      </c>
      <c r="O1251" s="1510">
        <f t="shared" si="887"/>
        <v>3.6363636363636376E-2</v>
      </c>
      <c r="P1251" s="1826">
        <f t="shared" ref="P1251:P1256" si="902">((N1251/I1251)-1)*100%</f>
        <v>-3.1435853865760421E-2</v>
      </c>
      <c r="Q1251" s="1012">
        <v>1.1914842300556587</v>
      </c>
      <c r="R1251" s="496">
        <f t="shared" si="888"/>
        <v>56.039077792207799</v>
      </c>
      <c r="S1251" s="1778">
        <f t="shared" si="889"/>
        <v>-1.8892323494687249E-2</v>
      </c>
      <c r="T1251" s="696">
        <f t="shared" ref="T1251:T1256" si="903">((I1251-R1251)/I1251)*100%</f>
        <v>4.7764183649825022E-2</v>
      </c>
      <c r="U1251" s="1358">
        <v>0.96899999999999997</v>
      </c>
      <c r="V1251" s="1359">
        <f t="shared" ref="V1251:V1256" si="904">U1251*$U$1234</f>
        <v>1.274235</v>
      </c>
      <c r="W1251" s="1359">
        <f t="shared" si="890"/>
        <v>59.931094755000004</v>
      </c>
      <c r="X1251" s="1360">
        <f>(ROUND(W1251/(1-$AB$1248),0))</f>
        <v>65</v>
      </c>
      <c r="Y1251" s="1359">
        <f t="shared" si="891"/>
        <v>62.540000000000006</v>
      </c>
      <c r="Z1251" s="1360">
        <f t="shared" si="892"/>
        <v>118</v>
      </c>
      <c r="AA1251" s="1361">
        <f t="shared" si="893"/>
        <v>7.798315761538456E-2</v>
      </c>
      <c r="AB1251" s="1361">
        <f t="shared" si="894"/>
        <v>4.1715785817077106E-2</v>
      </c>
      <c r="AC1251" s="1362">
        <f t="shared" ref="AC1251:AC1256" si="905">((N1251/Y1251)-1)*100%</f>
        <v>-8.8583306683722496E-2</v>
      </c>
      <c r="AD1251" s="1669">
        <f t="shared" ref="AD1251:AD1256" si="906">((N1251*0.96-W1251)/(N1251*0.96))*100%</f>
        <v>-9.523199479166676E-2</v>
      </c>
      <c r="AE1251" s="261">
        <f t="shared" si="895"/>
        <v>1.2119150383773094</v>
      </c>
      <c r="AF1251" s="1359">
        <f>(V1251/(1-$AB$1248))</f>
        <v>1.3850380434782608</v>
      </c>
      <c r="AG1251" s="1896">
        <v>2.52</v>
      </c>
      <c r="AH1251" s="1361">
        <f t="shared" si="896"/>
        <v>7.9999999999999918E-2</v>
      </c>
      <c r="AI1251" s="77">
        <f t="shared" ref="AI1251:AI1256" si="907">AJ1251/$AJ$1257</f>
        <v>6.5028089887640445E-2</v>
      </c>
      <c r="AJ1251" s="333">
        <v>463</v>
      </c>
      <c r="AK1251" s="270">
        <f t="shared" si="897"/>
        <v>-10.422086252532829</v>
      </c>
      <c r="AL1251" s="506">
        <f t="shared" ref="AL1251:AL1256" si="908">AK1251/$AK$1257</f>
        <v>4.0537070652729185E-2</v>
      </c>
      <c r="AM1251" s="77">
        <f t="shared" ref="AM1251:AM1256" si="909">AJ1251/$AJ$1359</f>
        <v>6.0037864052490987E-3</v>
      </c>
      <c r="AN1251" s="77">
        <f t="shared" ref="AN1251:AN1256" si="910">AK1251/$AK$1359</f>
        <v>-1.1177566216673926E-3</v>
      </c>
      <c r="AO1251" s="13"/>
      <c r="AP1251" s="13"/>
    </row>
    <row r="1252" spans="1:42" ht="15.75">
      <c r="A1252" s="271"/>
      <c r="B1252" s="699" t="s">
        <v>467</v>
      </c>
      <c r="C1252" s="250" t="s">
        <v>380</v>
      </c>
      <c r="D1252" s="251">
        <v>72</v>
      </c>
      <c r="E1252" s="251">
        <v>10</v>
      </c>
      <c r="F1252" s="251">
        <v>150</v>
      </c>
      <c r="G1252" s="328">
        <v>72</v>
      </c>
      <c r="H1252" s="453">
        <f t="shared" si="898"/>
        <v>77.040000000000006</v>
      </c>
      <c r="I1252" s="453">
        <f t="shared" si="899"/>
        <v>42.372</v>
      </c>
      <c r="J1252" s="1045">
        <f t="shared" si="900"/>
        <v>39.6</v>
      </c>
      <c r="K1252" s="1094">
        <v>96</v>
      </c>
      <c r="L1252" s="322">
        <v>61</v>
      </c>
      <c r="M1252" s="323">
        <f t="shared" si="886"/>
        <v>0.84722222222222221</v>
      </c>
      <c r="N1252" s="1767">
        <f t="shared" si="901"/>
        <v>48</v>
      </c>
      <c r="O1252" s="469">
        <f t="shared" si="887"/>
        <v>0.21212121212121215</v>
      </c>
      <c r="P1252" s="472">
        <f t="shared" si="902"/>
        <v>0.13282356273010487</v>
      </c>
      <c r="Q1252" s="336">
        <v>0.88030647553138908</v>
      </c>
      <c r="R1252" s="382">
        <f t="shared" si="888"/>
        <v>41.403454463667821</v>
      </c>
      <c r="S1252" s="918">
        <f t="shared" si="889"/>
        <v>-4.5541779385550984E-2</v>
      </c>
      <c r="T1252" s="696">
        <f t="shared" si="903"/>
        <v>2.2858150106961656E-2</v>
      </c>
      <c r="U1252" s="1358">
        <v>0.72499999999999998</v>
      </c>
      <c r="V1252" s="1359">
        <f t="shared" si="904"/>
        <v>0.95337499999999997</v>
      </c>
      <c r="W1252" s="1359">
        <f t="shared" si="890"/>
        <v>44.840086374999998</v>
      </c>
      <c r="X1252" s="1360">
        <f>(ROUND(W1252/(1-$AA$1248),0))</f>
        <v>49</v>
      </c>
      <c r="Y1252" s="1359">
        <f t="shared" si="891"/>
        <v>47.17</v>
      </c>
      <c r="Z1252" s="1360">
        <f t="shared" si="892"/>
        <v>89</v>
      </c>
      <c r="AA1252" s="1361">
        <f t="shared" si="893"/>
        <v>8.4896196428571463E-2</v>
      </c>
      <c r="AB1252" s="1361">
        <f t="shared" si="894"/>
        <v>4.9393971274114969E-2</v>
      </c>
      <c r="AC1252" s="1696">
        <f t="shared" si="905"/>
        <v>1.7595929616281536E-2</v>
      </c>
      <c r="AD1252" s="1669">
        <f t="shared" si="906"/>
        <v>2.690784776475694E-2</v>
      </c>
      <c r="AE1252" s="261">
        <f t="shared" si="895"/>
        <v>1.0205600323177344</v>
      </c>
      <c r="AF1252" s="1359">
        <f>(V1252/(1-$AA$1248))</f>
        <v>1.047664835164835</v>
      </c>
      <c r="AG1252" s="1896">
        <v>1.92</v>
      </c>
      <c r="AH1252" s="1361">
        <f t="shared" si="896"/>
        <v>8.9999999999999886E-2</v>
      </c>
      <c r="AI1252" s="77">
        <f t="shared" si="907"/>
        <v>0.1821629213483146</v>
      </c>
      <c r="AJ1252" s="333">
        <v>1297</v>
      </c>
      <c r="AK1252" s="270">
        <f t="shared" si="897"/>
        <v>-51.997668120518227</v>
      </c>
      <c r="AL1252" s="506">
        <f t="shared" si="908"/>
        <v>0.20224675706040671</v>
      </c>
      <c r="AM1252" s="77">
        <f t="shared" si="909"/>
        <v>1.6818382219455898E-2</v>
      </c>
      <c r="AN1252" s="77">
        <f t="shared" si="910"/>
        <v>-5.5766893925722335E-3</v>
      </c>
      <c r="AO1252" s="13"/>
      <c r="AP1252" s="13"/>
    </row>
    <row r="1253" spans="1:42" ht="15.75">
      <c r="A1253" s="187"/>
      <c r="B1253" s="699" t="s">
        <v>468</v>
      </c>
      <c r="C1253" s="250" t="s">
        <v>382</v>
      </c>
      <c r="D1253" s="251">
        <v>85</v>
      </c>
      <c r="E1253" s="251">
        <v>10</v>
      </c>
      <c r="F1253" s="251">
        <v>150</v>
      </c>
      <c r="G1253" s="328">
        <v>96</v>
      </c>
      <c r="H1253" s="453">
        <f t="shared" si="898"/>
        <v>102.72</v>
      </c>
      <c r="I1253" s="453">
        <f t="shared" si="899"/>
        <v>56.495999999999995</v>
      </c>
      <c r="J1253" s="1045">
        <f t="shared" si="900"/>
        <v>52.8</v>
      </c>
      <c r="K1253" s="1094">
        <v>127</v>
      </c>
      <c r="L1253" s="322">
        <v>80</v>
      </c>
      <c r="M1253" s="323">
        <f t="shared" si="886"/>
        <v>0.94117647058823528</v>
      </c>
      <c r="N1253" s="1767">
        <f t="shared" si="901"/>
        <v>63.5</v>
      </c>
      <c r="O1253" s="469">
        <f t="shared" si="887"/>
        <v>0.20265151515151514</v>
      </c>
      <c r="P1253" s="472">
        <f t="shared" si="902"/>
        <v>0.123973378646276</v>
      </c>
      <c r="Q1253" s="336">
        <v>1.1551976935749586</v>
      </c>
      <c r="R1253" s="382">
        <f t="shared" si="888"/>
        <v>54.332413121911031</v>
      </c>
      <c r="S1253" s="918">
        <f t="shared" si="889"/>
        <v>-2.9022975793769588E-2</v>
      </c>
      <c r="T1253" s="696">
        <f t="shared" si="903"/>
        <v>3.8296284304888205E-2</v>
      </c>
      <c r="U1253" s="261">
        <v>0.92300000000000004</v>
      </c>
      <c r="V1253" s="1359">
        <f t="shared" si="904"/>
        <v>1.2137450000000001</v>
      </c>
      <c r="W1253" s="1359">
        <f t="shared" si="890"/>
        <v>57.086068585000007</v>
      </c>
      <c r="X1253" s="1360">
        <f>(ROUND(W1253/(1-$AD$1248),0))</f>
        <v>65</v>
      </c>
      <c r="Y1253" s="1359">
        <f t="shared" si="891"/>
        <v>62.540000000000006</v>
      </c>
      <c r="Z1253" s="1360">
        <f t="shared" si="892"/>
        <v>118</v>
      </c>
      <c r="AA1253" s="1361">
        <f t="shared" si="893"/>
        <v>0.1217527909999999</v>
      </c>
      <c r="AB1253" s="1361">
        <f t="shared" si="894"/>
        <v>8.7207090102334489E-2</v>
      </c>
      <c r="AC1253" s="1696">
        <f t="shared" si="905"/>
        <v>1.5350175887431927E-2</v>
      </c>
      <c r="AD1253" s="1669">
        <f t="shared" si="906"/>
        <v>6.354874368438311E-2</v>
      </c>
      <c r="AE1253" s="261">
        <f t="shared" si="895"/>
        <v>1.3501158760870027</v>
      </c>
      <c r="AF1253" s="1359">
        <f>(V1253/(1-$AD$1248))</f>
        <v>1.3792556818181818</v>
      </c>
      <c r="AG1253" s="1896">
        <v>2.5099999999999998</v>
      </c>
      <c r="AH1253" s="1361">
        <f t="shared" si="896"/>
        <v>0.11999999999999994</v>
      </c>
      <c r="AI1253" s="92">
        <f t="shared" si="907"/>
        <v>0.2521067415730337</v>
      </c>
      <c r="AJ1253" s="338">
        <v>1795</v>
      </c>
      <c r="AK1253" s="297">
        <f t="shared" si="897"/>
        <v>-60.181458082271838</v>
      </c>
      <c r="AL1253" s="866">
        <f t="shared" si="908"/>
        <v>0.23407789564900544</v>
      </c>
      <c r="AM1253" s="92">
        <f t="shared" si="909"/>
        <v>2.3276018568946288E-2</v>
      </c>
      <c r="AN1253" s="92">
        <f t="shared" si="910"/>
        <v>-6.4543913419167973E-3</v>
      </c>
      <c r="AO1253" s="13"/>
      <c r="AP1253" s="13"/>
    </row>
    <row r="1254" spans="1:42" ht="15.75">
      <c r="A1254" s="187"/>
      <c r="B1254" s="699" t="s">
        <v>469</v>
      </c>
      <c r="C1254" s="250" t="s">
        <v>384</v>
      </c>
      <c r="D1254" s="251">
        <v>110</v>
      </c>
      <c r="E1254" s="251">
        <v>5</v>
      </c>
      <c r="F1254" s="699">
        <v>100</v>
      </c>
      <c r="G1254" s="328">
        <v>124</v>
      </c>
      <c r="H1254" s="453">
        <f t="shared" si="898"/>
        <v>132.68</v>
      </c>
      <c r="I1254" s="453">
        <f t="shared" si="899"/>
        <v>72.974000000000004</v>
      </c>
      <c r="J1254" s="1045">
        <f t="shared" si="900"/>
        <v>68.199999999999989</v>
      </c>
      <c r="K1254" s="1094">
        <v>164</v>
      </c>
      <c r="L1254" s="322">
        <v>92</v>
      </c>
      <c r="M1254" s="323">
        <f t="shared" si="886"/>
        <v>0.83636363636363631</v>
      </c>
      <c r="N1254" s="1767">
        <f t="shared" si="901"/>
        <v>82</v>
      </c>
      <c r="O1254" s="469">
        <f t="shared" si="887"/>
        <v>0.20234604105571874</v>
      </c>
      <c r="P1254" s="472">
        <f t="shared" si="902"/>
        <v>0.12368788883712001</v>
      </c>
      <c r="Q1254" s="336">
        <v>1.477114006514658</v>
      </c>
      <c r="R1254" s="382">
        <f t="shared" si="888"/>
        <v>69.473103068403915</v>
      </c>
      <c r="S1254" s="918">
        <f t="shared" si="889"/>
        <v>-1.866720041647987E-2</v>
      </c>
      <c r="T1254" s="696">
        <f t="shared" si="903"/>
        <v>4.797457905001902E-2</v>
      </c>
      <c r="U1254" s="261">
        <v>1.133</v>
      </c>
      <c r="V1254" s="1359">
        <f t="shared" si="904"/>
        <v>1.489895</v>
      </c>
      <c r="W1254" s="1359">
        <f t="shared" si="890"/>
        <v>70.074231534999996</v>
      </c>
      <c r="X1254" s="1360">
        <f>(ROUND(W1254/(1-$AC$1238),0))</f>
        <v>85</v>
      </c>
      <c r="Y1254" s="1359">
        <f t="shared" si="891"/>
        <v>82.15</v>
      </c>
      <c r="Z1254" s="1360">
        <f t="shared" si="892"/>
        <v>155</v>
      </c>
      <c r="AA1254" s="1361">
        <f t="shared" si="893"/>
        <v>0.17559727605882358</v>
      </c>
      <c r="AB1254" s="1361">
        <f t="shared" si="894"/>
        <v>0.14699657291539878</v>
      </c>
      <c r="AC1254" s="1696">
        <f t="shared" si="905"/>
        <v>-1.8259281801583649E-3</v>
      </c>
      <c r="AD1254" s="1669">
        <f t="shared" si="906"/>
        <v>0.10982937582571142</v>
      </c>
      <c r="AE1254" s="261">
        <f t="shared" si="895"/>
        <v>1.7434567218761294</v>
      </c>
      <c r="AF1254" s="1359">
        <f>(V1254/(1-$AC$1238))</f>
        <v>1.8169451219512194</v>
      </c>
      <c r="AG1254" s="1896">
        <v>3.3</v>
      </c>
      <c r="AH1254" s="1361">
        <f t="shared" si="896"/>
        <v>0.17999999999999997</v>
      </c>
      <c r="AI1254" s="77">
        <f t="shared" si="907"/>
        <v>6.938202247191011E-2</v>
      </c>
      <c r="AJ1254" s="333">
        <v>494</v>
      </c>
      <c r="AK1254" s="270">
        <f t="shared" si="897"/>
        <v>-13.621350099613744</v>
      </c>
      <c r="AL1254" s="506">
        <f t="shared" si="908"/>
        <v>5.2980719790091071E-2</v>
      </c>
      <c r="AM1254" s="77">
        <f t="shared" si="909"/>
        <v>6.4057677844342438E-3</v>
      </c>
      <c r="AN1254" s="77">
        <f t="shared" si="910"/>
        <v>-1.460873946057865E-3</v>
      </c>
      <c r="AO1254" s="13"/>
      <c r="AP1254" s="13"/>
    </row>
    <row r="1255" spans="1:42" ht="15.75">
      <c r="A1255" s="187"/>
      <c r="B1255" s="657" t="s">
        <v>470</v>
      </c>
      <c r="C1255" s="925" t="s">
        <v>386</v>
      </c>
      <c r="D1255" s="926">
        <v>144</v>
      </c>
      <c r="E1255" s="926">
        <v>5</v>
      </c>
      <c r="F1255" s="657">
        <v>80</v>
      </c>
      <c r="G1255" s="433">
        <v>160</v>
      </c>
      <c r="H1255" s="453">
        <f t="shared" si="898"/>
        <v>171.20000000000002</v>
      </c>
      <c r="I1255" s="453">
        <f t="shared" si="899"/>
        <v>94.160000000000011</v>
      </c>
      <c r="J1255" s="1567">
        <f t="shared" si="900"/>
        <v>88</v>
      </c>
      <c r="K1255" s="1568">
        <v>184</v>
      </c>
      <c r="L1255" s="929">
        <v>131</v>
      </c>
      <c r="M1255" s="1516">
        <f t="shared" si="886"/>
        <v>0.90972222222222221</v>
      </c>
      <c r="N1255" s="1768">
        <f t="shared" si="901"/>
        <v>92</v>
      </c>
      <c r="O1255" s="1510">
        <f t="shared" si="887"/>
        <v>4.5454545454545414E-2</v>
      </c>
      <c r="P1255" s="1826">
        <f t="shared" si="902"/>
        <v>-2.2939677145284776E-2</v>
      </c>
      <c r="Q1255" s="1012">
        <v>1.9282043343653252</v>
      </c>
      <c r="R1255" s="496">
        <f t="shared" si="888"/>
        <v>90.689234458204339</v>
      </c>
      <c r="S1255" s="1778">
        <f t="shared" si="889"/>
        <v>-3.0559482479594766E-2</v>
      </c>
      <c r="T1255" s="696">
        <f t="shared" si="903"/>
        <v>3.6860296748042386E-2</v>
      </c>
      <c r="U1255" s="261">
        <v>1.4730000000000001</v>
      </c>
      <c r="V1255" s="1359">
        <f t="shared" si="904"/>
        <v>1.936995</v>
      </c>
      <c r="W1255" s="1359">
        <f t="shared" si="890"/>
        <v>91.102685835000003</v>
      </c>
      <c r="X1255" s="1360">
        <f>(ROUND(W1255/(1-$AB$1248),0))</f>
        <v>99</v>
      </c>
      <c r="Y1255" s="1359">
        <f t="shared" si="891"/>
        <v>95.4</v>
      </c>
      <c r="Z1255" s="1360">
        <f t="shared" si="892"/>
        <v>180</v>
      </c>
      <c r="AA1255" s="1361">
        <f t="shared" si="893"/>
        <v>7.9770850151515124E-2</v>
      </c>
      <c r="AB1255" s="1361">
        <f t="shared" si="894"/>
        <v>4.5045221855345943E-2</v>
      </c>
      <c r="AC1255" s="1362">
        <f t="shared" si="905"/>
        <v>-3.563941299790363E-2</v>
      </c>
      <c r="AD1255" s="1669">
        <f t="shared" si="906"/>
        <v>-3.1506859544837063E-2</v>
      </c>
      <c r="AE1255" s="261">
        <f t="shared" si="895"/>
        <v>1.9560733952756575</v>
      </c>
      <c r="AF1255" s="1359">
        <f>(V1255/(1-$AB$1248))</f>
        <v>2.105429347826087</v>
      </c>
      <c r="AG1255" s="1896">
        <v>3.83</v>
      </c>
      <c r="AH1255" s="1361">
        <f t="shared" si="896"/>
        <v>8.0000000000000029E-2</v>
      </c>
      <c r="AI1255" s="77">
        <f t="shared" si="907"/>
        <v>5.5477528089887637E-2</v>
      </c>
      <c r="AJ1255" s="333">
        <v>395</v>
      </c>
      <c r="AK1255" s="270">
        <f t="shared" si="897"/>
        <v>-23.275345996380757</v>
      </c>
      <c r="AL1255" s="506">
        <f t="shared" si="908"/>
        <v>9.053027601769334E-2</v>
      </c>
      <c r="AM1255" s="77">
        <f t="shared" si="909"/>
        <v>5.1220207992945877E-3</v>
      </c>
      <c r="AN1255" s="77">
        <f t="shared" si="910"/>
        <v>-2.4962537709502875E-3</v>
      </c>
      <c r="AO1255" s="13"/>
      <c r="AP1255" s="13"/>
    </row>
    <row r="1256" spans="1:42" ht="16.5" thickBot="1">
      <c r="A1256" s="187"/>
      <c r="B1256" s="699" t="s">
        <v>471</v>
      </c>
      <c r="C1256" s="250" t="s">
        <v>388</v>
      </c>
      <c r="D1256" s="251">
        <v>180</v>
      </c>
      <c r="E1256" s="251">
        <v>5</v>
      </c>
      <c r="F1256" s="699">
        <v>50</v>
      </c>
      <c r="G1256" s="328">
        <v>224</v>
      </c>
      <c r="H1256" s="453">
        <f t="shared" si="898"/>
        <v>239.68</v>
      </c>
      <c r="I1256" s="453">
        <f t="shared" si="899"/>
        <v>131.82400000000001</v>
      </c>
      <c r="J1256" s="1045">
        <f t="shared" si="900"/>
        <v>123.2</v>
      </c>
      <c r="K1256" s="1094">
        <v>297</v>
      </c>
      <c r="L1256" s="322">
        <v>129</v>
      </c>
      <c r="M1256" s="323">
        <f t="shared" si="886"/>
        <v>0.71666666666666667</v>
      </c>
      <c r="N1256" s="1767">
        <f t="shared" si="901"/>
        <v>148.5</v>
      </c>
      <c r="O1256" s="469">
        <f t="shared" si="887"/>
        <v>0.20535714285714279</v>
      </c>
      <c r="P1256" s="475">
        <f t="shared" si="902"/>
        <v>0.12650200267022682</v>
      </c>
      <c r="Q1256" s="336">
        <v>2.1515063385533186</v>
      </c>
      <c r="R1256" s="382">
        <f t="shared" si="888"/>
        <v>101.19179762117824</v>
      </c>
      <c r="S1256" s="918">
        <f t="shared" si="889"/>
        <v>0.17863800632160523</v>
      </c>
      <c r="T1256" s="919">
        <f t="shared" si="903"/>
        <v>0.23237196852486475</v>
      </c>
      <c r="U1256" s="261">
        <v>1.8540000000000001</v>
      </c>
      <c r="V1256" s="1359">
        <f t="shared" si="904"/>
        <v>2.4380100000000002</v>
      </c>
      <c r="W1256" s="1359">
        <f t="shared" si="890"/>
        <v>114.66692433000001</v>
      </c>
      <c r="X1256" s="1360">
        <f>(ROUND(W1256/(1-$AC$1248),0))</f>
        <v>147</v>
      </c>
      <c r="Y1256" s="1359">
        <f t="shared" si="891"/>
        <v>141.51000000000002</v>
      </c>
      <c r="Z1256" s="1360">
        <f t="shared" si="892"/>
        <v>267</v>
      </c>
      <c r="AA1256" s="1361">
        <f t="shared" si="893"/>
        <v>0.21995289571428561</v>
      </c>
      <c r="AB1256" s="1361">
        <f t="shared" si="894"/>
        <v>0.18969030930676278</v>
      </c>
      <c r="AC1256" s="1696">
        <f t="shared" si="905"/>
        <v>4.9395802416790202E-2</v>
      </c>
      <c r="AD1256" s="1669">
        <f t="shared" si="906"/>
        <v>0.19565849936868679</v>
      </c>
      <c r="AE1256" s="261">
        <f t="shared" si="895"/>
        <v>3.1573575999829906</v>
      </c>
      <c r="AF1256" s="1359">
        <f>(V1256/(1-$AC$1248))</f>
        <v>3.1256538461538463</v>
      </c>
      <c r="AG1256" s="1896">
        <v>5.68</v>
      </c>
      <c r="AH1256" s="1361">
        <f t="shared" si="896"/>
        <v>0.21999999999999997</v>
      </c>
      <c r="AI1256" s="77">
        <f t="shared" si="907"/>
        <v>1.5308988764044944E-2</v>
      </c>
      <c r="AJ1256" s="333">
        <v>109</v>
      </c>
      <c r="AK1256" s="270">
        <f t="shared" si="897"/>
        <v>41.893147516913302</v>
      </c>
      <c r="AL1256" s="506">
        <f t="shared" si="908"/>
        <v>-0.16294486915665368</v>
      </c>
      <c r="AM1256" s="77">
        <f t="shared" si="909"/>
        <v>1.4134183977800253E-3</v>
      </c>
      <c r="AN1256" s="77">
        <f t="shared" si="910"/>
        <v>4.4929913171788179E-3</v>
      </c>
      <c r="AO1256" s="13"/>
      <c r="AP1256" s="13"/>
    </row>
    <row r="1257" spans="1:42" ht="15.75" thickBot="1">
      <c r="A1257" s="149" t="s">
        <v>157</v>
      </c>
      <c r="J1257" s="532"/>
      <c r="K1257" s="533"/>
      <c r="N1257" s="1756"/>
      <c r="P1257" s="886"/>
      <c r="Q1257" s="1091"/>
      <c r="R1257" s="1092"/>
      <c r="S1257" s="1092"/>
      <c r="T1257" s="365"/>
      <c r="U1257" s="366"/>
      <c r="V1257" s="366"/>
      <c r="W1257" s="366"/>
      <c r="X1257" s="366"/>
      <c r="Y1257" s="366"/>
      <c r="Z1257" s="366"/>
      <c r="AA1257" s="367"/>
      <c r="AB1257" s="367"/>
      <c r="AC1257" s="367"/>
      <c r="AD1257" s="367">
        <f>AVERAGE(AD1250:AD1256)</f>
        <v>3.7344014927790638E-2</v>
      </c>
      <c r="AE1257" s="366"/>
      <c r="AF1257" s="366"/>
      <c r="AG1257" s="1872"/>
      <c r="AH1257" s="367"/>
      <c r="AI1257" s="512">
        <f>S1250*AI1250+S1251*AI1251+S1252*AI1252+S1253*AI1253+S1254*AI1254+S1255*AI1255+S1256*AI1256</f>
        <v>-4.1608925406260572E-2</v>
      </c>
      <c r="AJ1257" s="513">
        <f>SUM(AJ1250:AJ1256)</f>
        <v>7120</v>
      </c>
      <c r="AK1257" s="514">
        <f>SUM(AK1250:AK1256)</f>
        <v>-257.10013290837418</v>
      </c>
      <c r="AM1257" s="307">
        <f>SUM(AM1250:AM1256)</f>
        <v>9.2326045799942955E-2</v>
      </c>
      <c r="AN1257" s="307">
        <f>SUM(AN1250:AN1256)</f>
        <v>-2.757369004886738E-2</v>
      </c>
      <c r="AO1257" s="13"/>
      <c r="AP1257" s="13"/>
    </row>
    <row r="1258" spans="1:42" ht="15.75" thickBot="1">
      <c r="A1258" s="187"/>
      <c r="B1258" s="157"/>
      <c r="C1258" s="157" t="s">
        <v>158</v>
      </c>
      <c r="J1258" s="532"/>
      <c r="K1258" s="1850" t="s">
        <v>1489</v>
      </c>
      <c r="L1258" s="1850"/>
      <c r="M1258" s="1850"/>
      <c r="N1258" s="898"/>
      <c r="O1258" s="899"/>
      <c r="P1258" s="459"/>
      <c r="U1258" s="309"/>
      <c r="V1258" s="309"/>
      <c r="W1258" s="309"/>
      <c r="X1258" s="309"/>
      <c r="Y1258" s="309"/>
      <c r="Z1258" s="309"/>
      <c r="AA1258" s="346">
        <v>0.24</v>
      </c>
      <c r="AB1258" s="628">
        <v>0.33</v>
      </c>
      <c r="AC1258" s="628">
        <v>0.38</v>
      </c>
      <c r="AD1258" s="585"/>
      <c r="AE1258" s="188"/>
      <c r="AF1258" s="188"/>
      <c r="AG1258" s="1866"/>
      <c r="AH1258" s="1851"/>
      <c r="AO1258" s="13"/>
      <c r="AP1258" s="13"/>
    </row>
    <row r="1259" spans="1:42" ht="60.75" thickBot="1">
      <c r="A1259" s="187"/>
      <c r="B1259" s="189" t="s">
        <v>10</v>
      </c>
      <c r="C1259" s="190" t="s">
        <v>11</v>
      </c>
      <c r="D1259" s="190" t="s">
        <v>12</v>
      </c>
      <c r="E1259" s="190" t="s">
        <v>13</v>
      </c>
      <c r="F1259" s="190" t="s">
        <v>14</v>
      </c>
      <c r="G1259" s="191" t="s">
        <v>15</v>
      </c>
      <c r="H1259" s="347" t="s">
        <v>1090</v>
      </c>
      <c r="I1259" s="347">
        <f>$C$22</f>
        <v>0.45</v>
      </c>
      <c r="J1259" s="873">
        <f>$C$22</f>
        <v>0.45</v>
      </c>
      <c r="K1259" s="601" t="s">
        <v>15</v>
      </c>
      <c r="L1259" s="315" t="s">
        <v>12</v>
      </c>
      <c r="M1259" s="316" t="s">
        <v>1091</v>
      </c>
      <c r="N1259" s="605" t="s">
        <v>993</v>
      </c>
      <c r="O1259" s="1153" t="s">
        <v>1092</v>
      </c>
      <c r="P1259" s="199" t="s">
        <v>1092</v>
      </c>
      <c r="Q1259" s="875" t="s">
        <v>1093</v>
      </c>
      <c r="R1259" s="876" t="s">
        <v>1094</v>
      </c>
      <c r="S1259" s="1126" t="s">
        <v>1095</v>
      </c>
      <c r="T1259" s="1117" t="s">
        <v>1095</v>
      </c>
      <c r="U1259" s="204" t="s">
        <v>1096</v>
      </c>
      <c r="V1259" s="205" t="s">
        <v>1093</v>
      </c>
      <c r="W1259" s="206" t="s">
        <v>1094</v>
      </c>
      <c r="X1259" s="207" t="s">
        <v>1097</v>
      </c>
      <c r="Y1259" s="208">
        <f>$X$1235</f>
        <v>0.47</v>
      </c>
      <c r="Z1259" s="207" t="s">
        <v>1098</v>
      </c>
      <c r="AA1259" s="209" t="s">
        <v>1099</v>
      </c>
      <c r="AB1259" s="209" t="s">
        <v>1100</v>
      </c>
      <c r="AC1259" s="210" t="s">
        <v>1092</v>
      </c>
      <c r="AD1259" s="211" t="s">
        <v>1101</v>
      </c>
      <c r="AE1259" s="212" t="s">
        <v>1102</v>
      </c>
      <c r="AF1259" s="208" t="s">
        <v>1103</v>
      </c>
      <c r="AG1259" s="1867" t="s">
        <v>1104</v>
      </c>
      <c r="AH1259" s="213" t="s">
        <v>1105</v>
      </c>
      <c r="AI1259" s="220" t="s">
        <v>1106</v>
      </c>
      <c r="AJ1259" s="483" t="s">
        <v>1107</v>
      </c>
      <c r="AK1259" s="484" t="s">
        <v>1108</v>
      </c>
      <c r="AL1259" s="221" t="s">
        <v>1109</v>
      </c>
      <c r="AM1259" s="221" t="s">
        <v>1175</v>
      </c>
      <c r="AN1259" s="221" t="s">
        <v>1176</v>
      </c>
      <c r="AO1259" s="13"/>
      <c r="AP1259" s="13"/>
    </row>
    <row r="1260" spans="1:42" ht="15.75">
      <c r="A1260" s="271"/>
      <c r="B1260" s="699" t="s">
        <v>472</v>
      </c>
      <c r="C1260" s="250">
        <v>16</v>
      </c>
      <c r="D1260" s="251">
        <v>54</v>
      </c>
      <c r="E1260" s="251">
        <v>10</v>
      </c>
      <c r="F1260" s="251">
        <v>200</v>
      </c>
      <c r="G1260" s="328">
        <v>90</v>
      </c>
      <c r="H1260" s="453">
        <f>G1260*(1+$H$33)</f>
        <v>96.300000000000011</v>
      </c>
      <c r="I1260" s="453">
        <f>H1260-H1260*$J$1239</f>
        <v>52.965000000000003</v>
      </c>
      <c r="J1260" s="1045">
        <f>G1260-G1260*$J$1239</f>
        <v>49.5</v>
      </c>
      <c r="K1260" s="1094">
        <v>120</v>
      </c>
      <c r="L1260" s="322">
        <v>39</v>
      </c>
      <c r="M1260" s="323">
        <f>L1260/D1260*100%</f>
        <v>0.72222222222222221</v>
      </c>
      <c r="N1260" s="1767">
        <f>K1260-(K1260*$O$33)</f>
        <v>60</v>
      </c>
      <c r="O1260" s="469">
        <f>((N1260/J1260)-1)*100%</f>
        <v>0.21212121212121215</v>
      </c>
      <c r="P1260" s="470">
        <f>((N1260/I1260)-1)*100%</f>
        <v>0.13282356273010465</v>
      </c>
      <c r="Q1260" s="336">
        <v>0.80209100204498984</v>
      </c>
      <c r="R1260" s="382">
        <f>Q1260*$R$33</f>
        <v>37.724746099182006</v>
      </c>
      <c r="S1260" s="918">
        <f>((J1260-R1260)/J1260)*100%</f>
        <v>0.23788391718824231</v>
      </c>
      <c r="T1260" s="1128">
        <f>((I1260-R1260)/I1260)*100%</f>
        <v>0.28774197868060031</v>
      </c>
      <c r="U1260" s="1358">
        <v>0.67</v>
      </c>
      <c r="V1260" s="1359">
        <f>U1260*$U$1234</f>
        <v>0.88105</v>
      </c>
      <c r="W1260" s="1359">
        <f>V1260*$R$33</f>
        <v>41.438424650000002</v>
      </c>
      <c r="X1260" s="1360">
        <f>(ROUND(W1260/(1-$AA$1258),0))</f>
        <v>55</v>
      </c>
      <c r="Y1260" s="1359">
        <f>Z1260*(1-$X$1235)</f>
        <v>53</v>
      </c>
      <c r="Z1260" s="1360">
        <f>ROUND(X1260/(1-$X$1234),0)</f>
        <v>100</v>
      </c>
      <c r="AA1260" s="1361">
        <f>((X1260-W1260)/X1260)*100%</f>
        <v>0.24657409727272725</v>
      </c>
      <c r="AB1260" s="1361">
        <f>((Y1260-W1260)/Y1260)*100%</f>
        <v>0.21814293113207545</v>
      </c>
      <c r="AC1260" s="1696">
        <f>((N1260/Y1260)-1)*100%</f>
        <v>0.13207547169811318</v>
      </c>
      <c r="AD1260" s="1669">
        <f>((N1260*0.96-W1260)/(N1260*0.96))*100%</f>
        <v>0.28058290538194436</v>
      </c>
      <c r="AE1260" s="261">
        <f>N1260/$R$33</f>
        <v>1.2757000403971679</v>
      </c>
      <c r="AF1260" s="1359">
        <f>(V1260/(1-$AA$1258))</f>
        <v>1.1592763157894737</v>
      </c>
      <c r="AG1260" s="1896">
        <v>2.11</v>
      </c>
      <c r="AH1260" s="1361">
        <f>((AF1260-V1260)/AF1260)*100%</f>
        <v>0.24</v>
      </c>
      <c r="AI1260" s="92">
        <f>AJ1260/$AJ$1264</f>
        <v>0.59895337773548996</v>
      </c>
      <c r="AJ1260" s="338">
        <v>2518</v>
      </c>
      <c r="AK1260" s="297">
        <f>Q1260*S1260*AJ1260</f>
        <v>480.44585566090393</v>
      </c>
      <c r="AL1260" s="866">
        <f>AK1260/$AK$1264</f>
        <v>0.46577101834105117</v>
      </c>
      <c r="AM1260" s="92">
        <f>AJ1260/$AJ$1359</f>
        <v>3.2651261702844991E-2</v>
      </c>
      <c r="AN1260" s="92">
        <f>AK1260/$AK$1359</f>
        <v>5.1527258890907944E-2</v>
      </c>
      <c r="AO1260" s="13"/>
      <c r="AP1260" s="13"/>
    </row>
    <row r="1261" spans="1:42" ht="15.75">
      <c r="A1261" s="187"/>
      <c r="B1261" s="699" t="s">
        <v>473</v>
      </c>
      <c r="C1261" s="250">
        <v>20</v>
      </c>
      <c r="D1261" s="251">
        <v>75</v>
      </c>
      <c r="E1261" s="251">
        <v>10</v>
      </c>
      <c r="F1261" s="251">
        <v>150</v>
      </c>
      <c r="G1261" s="328">
        <v>122</v>
      </c>
      <c r="H1261" s="453">
        <f>G1261*(1+$H$33)</f>
        <v>130.54000000000002</v>
      </c>
      <c r="I1261" s="453">
        <f>H1261-H1261*$J$1239</f>
        <v>71.797000000000011</v>
      </c>
      <c r="J1261" s="1045">
        <f>G1261-G1261*$J$1239</f>
        <v>67.099999999999994</v>
      </c>
      <c r="K1261" s="1094">
        <v>162</v>
      </c>
      <c r="L1261" s="322">
        <v>72</v>
      </c>
      <c r="M1261" s="323">
        <f>L1261/D1261*100%</f>
        <v>0.96</v>
      </c>
      <c r="N1261" s="1767">
        <f>K1261-(K1261*$O$33)</f>
        <v>81</v>
      </c>
      <c r="O1261" s="469">
        <f>((N1261/J1261)-1)*100%</f>
        <v>0.20715350223546958</v>
      </c>
      <c r="P1261" s="472">
        <f>((N1261/I1261)-1)*100%</f>
        <v>0.12818084321071899</v>
      </c>
      <c r="Q1261" s="336">
        <v>1.0009070498428381</v>
      </c>
      <c r="R1261" s="382">
        <f>Q1261*$R$33</f>
        <v>47.075661275258206</v>
      </c>
      <c r="S1261" s="918">
        <f>((J1261-R1261)/J1261)*100%</f>
        <v>0.29842531631507885</v>
      </c>
      <c r="T1261" s="696">
        <f>((I1261-R1261)/I1261)*100%</f>
        <v>0.34432272552811122</v>
      </c>
      <c r="U1261" s="1358">
        <v>0.77300000000000002</v>
      </c>
      <c r="V1261" s="1359">
        <f>U1261*$U$1234</f>
        <v>1.0164949999999999</v>
      </c>
      <c r="W1261" s="1359">
        <f>V1261*$R$33</f>
        <v>47.808809334999999</v>
      </c>
      <c r="X1261" s="1360">
        <f>(ROUND(W1261/(1-$AC$1258),0))</f>
        <v>77</v>
      </c>
      <c r="Y1261" s="1359">
        <f>Z1261*(1-$X$1235)</f>
        <v>74.2</v>
      </c>
      <c r="Z1261" s="1360">
        <f>ROUND(X1261/(1-$X$1234),0)</f>
        <v>140</v>
      </c>
      <c r="AA1261" s="1361">
        <f>((X1261-W1261)/X1261)*100%</f>
        <v>0.37910637227272725</v>
      </c>
      <c r="AB1261" s="1361">
        <f>((Y1261-W1261)/Y1261)*100%</f>
        <v>0.35567642405660382</v>
      </c>
      <c r="AC1261" s="1696">
        <f>((N1261/Y1261)-1)*100%</f>
        <v>9.1644204851752065E-2</v>
      </c>
      <c r="AD1261" s="1669">
        <f>((N1261*0.96-W1261)/(N1261*0.96))*100%</f>
        <v>0.38517477707047321</v>
      </c>
      <c r="AE1261" s="261">
        <f>N1261/$R$33</f>
        <v>1.7221950545361766</v>
      </c>
      <c r="AF1261" s="1359">
        <f>(V1261/(1-$AC$1258))</f>
        <v>1.6395080645161288</v>
      </c>
      <c r="AG1261" s="1896">
        <v>2.98</v>
      </c>
      <c r="AH1261" s="1361">
        <f>((AF1261-V1261)/AF1261)*100%</f>
        <v>0.37999999999999995</v>
      </c>
      <c r="AI1261" s="77">
        <f>AJ1261/$AJ$1264</f>
        <v>0.29543292102759278</v>
      </c>
      <c r="AJ1261" s="333">
        <v>1242</v>
      </c>
      <c r="AK1261" s="270">
        <f>Q1261*S1261*AJ1261</f>
        <v>370.98043566556595</v>
      </c>
      <c r="AL1261" s="506">
        <f>AK1261/$AK$1264</f>
        <v>0.35964913271416182</v>
      </c>
      <c r="AM1261" s="77">
        <f>AJ1261/$AJ$1359</f>
        <v>1.6105189449933867E-2</v>
      </c>
      <c r="AN1261" s="77">
        <f>AK1261/$AK$1359</f>
        <v>3.9787219989036865E-2</v>
      </c>
      <c r="AO1261" s="13"/>
      <c r="AP1261" s="13"/>
    </row>
    <row r="1262" spans="1:42" ht="15.75">
      <c r="A1262" s="187"/>
      <c r="B1262" s="699" t="s">
        <v>474</v>
      </c>
      <c r="C1262" s="250">
        <v>26</v>
      </c>
      <c r="D1262" s="251">
        <v>96</v>
      </c>
      <c r="E1262" s="251">
        <v>5</v>
      </c>
      <c r="F1262" s="251">
        <v>50</v>
      </c>
      <c r="G1262" s="328">
        <v>164</v>
      </c>
      <c r="H1262" s="453">
        <f>G1262*(1+$H$33)</f>
        <v>175.48000000000002</v>
      </c>
      <c r="I1262" s="453">
        <f>H1262-H1262*$J$1239</f>
        <v>96.51400000000001</v>
      </c>
      <c r="J1262" s="1045">
        <f>G1262-G1262*$J$1239</f>
        <v>90.2</v>
      </c>
      <c r="K1262" s="1094">
        <v>216</v>
      </c>
      <c r="L1262" s="322">
        <v>108</v>
      </c>
      <c r="M1262" s="335">
        <f>L1262/D1262*100%</f>
        <v>1.125</v>
      </c>
      <c r="N1262" s="1767">
        <f>K1262-(K1262*$O$33)</f>
        <v>108</v>
      </c>
      <c r="O1262" s="469">
        <f>((N1262/J1262)-1)*100%</f>
        <v>0.19733924611973386</v>
      </c>
      <c r="P1262" s="472">
        <f>((N1262/I1262)-1)*100%</f>
        <v>0.11900864123339616</v>
      </c>
      <c r="Q1262" s="336">
        <v>1.3526200873362446</v>
      </c>
      <c r="R1262" s="382">
        <f>Q1262*$R$33</f>
        <v>63.617780567685593</v>
      </c>
      <c r="S1262" s="918">
        <f>((J1262-R1262)/J1262)*100%</f>
        <v>0.2947030979192285</v>
      </c>
      <c r="T1262" s="696">
        <f>((I1262-R1262)/I1262)*100%</f>
        <v>0.34084401674694254</v>
      </c>
      <c r="U1262" s="1358">
        <v>0.98899999999999999</v>
      </c>
      <c r="V1262" s="1359">
        <f>U1262*$U$1234</f>
        <v>1.300535</v>
      </c>
      <c r="W1262" s="1359">
        <f>V1262*$R$33</f>
        <v>61.168062655</v>
      </c>
      <c r="X1262" s="1360">
        <f>(ROUND(W1262/(1-$AC$1258),0))</f>
        <v>99</v>
      </c>
      <c r="Y1262" s="1359">
        <f>Z1262*(1-$X$1235)</f>
        <v>95.4</v>
      </c>
      <c r="Z1262" s="1360">
        <f>ROUND(X1262/(1-$X$1234),0)</f>
        <v>180</v>
      </c>
      <c r="AA1262" s="1361">
        <f>((X1262-W1262)/X1262)*100%</f>
        <v>0.38214078126262624</v>
      </c>
      <c r="AB1262" s="1361">
        <f>((Y1262-W1262)/Y1262)*100%</f>
        <v>0.35882533904612163</v>
      </c>
      <c r="AC1262" s="1696">
        <f>((N1262/Y1262)-1)*100%</f>
        <v>0.13207547169811318</v>
      </c>
      <c r="AD1262" s="1669">
        <f>((N1262*0.96-W1262)/(N1262*0.96))*100%</f>
        <v>0.41003025988618824</v>
      </c>
      <c r="AE1262" s="261">
        <f>N1262/$R$33</f>
        <v>2.2962600727149023</v>
      </c>
      <c r="AF1262" s="1359">
        <f>(V1262/(1-$AC$1258))</f>
        <v>2.0976370967741937</v>
      </c>
      <c r="AG1262" s="1896">
        <v>3.81</v>
      </c>
      <c r="AH1262" s="1361">
        <f>((AF1262-V1262)/AF1262)*100%</f>
        <v>0.38000000000000006</v>
      </c>
      <c r="AI1262" s="77">
        <f>AJ1262/$AJ$1264</f>
        <v>8.6108468125594667E-2</v>
      </c>
      <c r="AJ1262" s="333">
        <v>362</v>
      </c>
      <c r="AK1262" s="270">
        <f>Q1262*S1262*AJ1262</f>
        <v>144.30092147656828</v>
      </c>
      <c r="AL1262" s="506">
        <f>AK1262/$AK$1264</f>
        <v>0.13989336436514202</v>
      </c>
      <c r="AM1262" s="77">
        <f>AJ1262/$AJ$1359</f>
        <v>4.6941051375813687E-3</v>
      </c>
      <c r="AN1262" s="77">
        <f>AK1262/$AK$1359</f>
        <v>1.5476105895203306E-2</v>
      </c>
      <c r="AO1262" s="13"/>
      <c r="AP1262" s="13"/>
    </row>
    <row r="1263" spans="1:42" ht="16.5" thickBot="1">
      <c r="A1263" s="187"/>
      <c r="B1263" s="699" t="s">
        <v>475</v>
      </c>
      <c r="C1263" s="250">
        <v>32</v>
      </c>
      <c r="D1263" s="251">
        <v>150</v>
      </c>
      <c r="E1263" s="251">
        <v>5</v>
      </c>
      <c r="F1263" s="699">
        <v>30</v>
      </c>
      <c r="G1263" s="328">
        <v>226</v>
      </c>
      <c r="H1263" s="453">
        <f>G1263*(1+$H$33)</f>
        <v>241.82000000000002</v>
      </c>
      <c r="I1263" s="453">
        <f>H1263-H1263*$J$1239</f>
        <v>133.001</v>
      </c>
      <c r="J1263" s="1045">
        <f>G1263-G1263*$J$1239</f>
        <v>124.3</v>
      </c>
      <c r="K1263" s="1094">
        <v>298</v>
      </c>
      <c r="L1263" s="322">
        <v>149</v>
      </c>
      <c r="M1263" s="323">
        <f>L1263/D1263*100%</f>
        <v>0.99333333333333329</v>
      </c>
      <c r="N1263" s="1767">
        <f>K1263-(K1263*$O$33)</f>
        <v>149</v>
      </c>
      <c r="O1263" s="469">
        <f>((N1263/J1263)-1)*100%</f>
        <v>0.1987127916331457</v>
      </c>
      <c r="P1263" s="475">
        <f>((N1263/I1263)-1)*100%</f>
        <v>0.12029232862910799</v>
      </c>
      <c r="Q1263" s="336">
        <v>2.0914635904830572</v>
      </c>
      <c r="R1263" s="382">
        <f>Q1263*$R$33</f>
        <v>98.367807051189629</v>
      </c>
      <c r="S1263" s="918">
        <f>((J1263-R1263)/J1263)*100%</f>
        <v>0.20862584834119363</v>
      </c>
      <c r="T1263" s="919">
        <f>((I1263-R1263)/I1263)*100%</f>
        <v>0.26039798910391931</v>
      </c>
      <c r="U1263" s="261">
        <v>1.5449999999999999</v>
      </c>
      <c r="V1263" s="1359">
        <f>U1263*$U$1234</f>
        <v>2.0316749999999999</v>
      </c>
      <c r="W1263" s="1359">
        <f>V1263*$R$33</f>
        <v>95.555770275</v>
      </c>
      <c r="X1263" s="1360">
        <f>(ROUND(W1263/(1-$AB$1258),0))</f>
        <v>143</v>
      </c>
      <c r="Y1263" s="1359">
        <f>Z1263*(1-$X$1235)</f>
        <v>137.80000000000001</v>
      </c>
      <c r="Z1263" s="1360">
        <f>ROUND(X1263/(1-$X$1234),0)</f>
        <v>260</v>
      </c>
      <c r="AA1263" s="1361">
        <f>((X1263-W1263)/X1263)*100%</f>
        <v>0.33177783024475527</v>
      </c>
      <c r="AB1263" s="1361">
        <f>((Y1263-W1263)/Y1263)*100%</f>
        <v>0.30656189931059513</v>
      </c>
      <c r="AC1263" s="1696">
        <f>((N1263/Y1263)-1)*100%</f>
        <v>8.1277213352684896E-2</v>
      </c>
      <c r="AD1263" s="1669">
        <f>((N1263*0.96-W1263)/(N1263*0.96))*100%</f>
        <v>0.33196469326761741</v>
      </c>
      <c r="AE1263" s="261">
        <f>N1263/$R$33</f>
        <v>3.1679884336529671</v>
      </c>
      <c r="AF1263" s="1359">
        <f>(V1263/(1-$AB$1258))</f>
        <v>3.0323507462686567</v>
      </c>
      <c r="AG1263" s="1896">
        <v>5.51</v>
      </c>
      <c r="AH1263" s="1361">
        <f>((AF1263-V1263)/AF1263)*100%</f>
        <v>0.33</v>
      </c>
      <c r="AI1263" s="77">
        <f>AJ1263/$AJ$1264</f>
        <v>1.9505233111322549E-2</v>
      </c>
      <c r="AJ1263" s="333">
        <v>82</v>
      </c>
      <c r="AK1263" s="270">
        <f>Q1263*S1263*AJ1263</f>
        <v>35.779335998818219</v>
      </c>
      <c r="AL1263" s="506">
        <f>AK1263/$AK$1264</f>
        <v>3.4686484579644794E-2</v>
      </c>
      <c r="AM1263" s="77">
        <f>AJ1263/$AJ$1359</f>
        <v>1.0633055836510284E-3</v>
      </c>
      <c r="AN1263" s="77">
        <f>AK1263/$AK$1359</f>
        <v>3.8372921469367392E-3</v>
      </c>
      <c r="AO1263" s="13"/>
      <c r="AP1263" s="13"/>
    </row>
    <row r="1264" spans="1:42" ht="15.75" thickBot="1">
      <c r="A1264" s="187"/>
      <c r="J1264" s="532"/>
      <c r="K1264" s="533"/>
      <c r="N1264" s="1756"/>
      <c r="P1264" s="886"/>
      <c r="Q1264" s="1091"/>
      <c r="R1264" s="1092"/>
      <c r="S1264" s="1092"/>
      <c r="T1264" s="1810"/>
      <c r="U1264" s="1811"/>
      <c r="V1264" s="1811"/>
      <c r="W1264" s="1811"/>
      <c r="X1264" s="1811"/>
      <c r="Y1264" s="1811"/>
      <c r="Z1264" s="1811"/>
      <c r="AA1264" s="1252"/>
      <c r="AB1264" s="1252"/>
      <c r="AC1264" s="1252"/>
      <c r="AD1264" s="1252">
        <f>AVERAGE(AD1260:AD1263)</f>
        <v>0.35193815890155583</v>
      </c>
      <c r="AE1264" s="1811"/>
      <c r="AF1264" s="1811"/>
      <c r="AG1264" s="1903"/>
      <c r="AH1264" s="1252"/>
      <c r="AI1264" s="512">
        <f>S1260*AI1260+S1261*AI1261+S1262*AI1262+S1263*AI1263</f>
        <v>0.26009176673502871</v>
      </c>
      <c r="AJ1264" s="513">
        <f>SUM(AJ1260:AJ1263)</f>
        <v>4204</v>
      </c>
      <c r="AK1264" s="514">
        <f>SUM(AK1260:AK1263)</f>
        <v>1031.5065488018565</v>
      </c>
      <c r="AM1264" s="307">
        <f>SUM(AM1260:AM1263)</f>
        <v>5.4513861874011256E-2</v>
      </c>
      <c r="AN1264" s="307">
        <f>SUM(AN1260:AN1263)</f>
        <v>0.11062787692208485</v>
      </c>
      <c r="AO1264" s="13"/>
      <c r="AP1264" s="13"/>
    </row>
    <row r="1265" spans="1:42">
      <c r="A1265" s="187"/>
      <c r="J1265" s="532"/>
      <c r="K1265" s="533"/>
      <c r="N1265" s="1756"/>
      <c r="AO1265" s="13"/>
      <c r="AP1265" s="13"/>
    </row>
    <row r="1266" spans="1:42">
      <c r="A1266" s="187"/>
      <c r="J1266" s="532"/>
      <c r="K1266" s="533"/>
      <c r="N1266" s="1756"/>
      <c r="AO1266" s="13"/>
      <c r="AP1266" s="13"/>
    </row>
    <row r="1267" spans="1:42">
      <c r="A1267" s="187"/>
      <c r="J1267" s="532"/>
      <c r="K1267" s="533"/>
      <c r="N1267" s="1756"/>
      <c r="AO1267" s="13"/>
      <c r="AP1267" s="13"/>
    </row>
    <row r="1268" spans="1:42">
      <c r="A1268" s="149" t="s">
        <v>157</v>
      </c>
      <c r="J1268" s="532"/>
      <c r="K1268" s="533"/>
      <c r="N1268" s="1756"/>
      <c r="AO1268" s="13"/>
      <c r="AP1268" s="13"/>
    </row>
    <row r="1269" spans="1:42" ht="15.75" thickBot="1">
      <c r="A1269" s="187"/>
      <c r="B1269" s="157"/>
      <c r="C1269" s="157" t="s">
        <v>159</v>
      </c>
      <c r="F1269" s="158" t="s">
        <v>1077</v>
      </c>
      <c r="G1269" s="158"/>
      <c r="H1269" s="159"/>
      <c r="I1269" s="160"/>
      <c r="J1269" s="541"/>
      <c r="K1269" s="1850" t="s">
        <v>1489</v>
      </c>
      <c r="L1269" s="1850"/>
      <c r="M1269" s="1850"/>
      <c r="N1269" s="898"/>
      <c r="O1269" s="899"/>
      <c r="P1269" s="459"/>
      <c r="U1269" s="309"/>
      <c r="V1269" s="309"/>
      <c r="W1269" s="309"/>
      <c r="X1269" s="309"/>
      <c r="Y1269" s="309"/>
      <c r="Z1269" s="309"/>
      <c r="AA1269" s="346">
        <v>0.42</v>
      </c>
      <c r="AB1269" s="628">
        <v>0.46</v>
      </c>
      <c r="AC1269" s="628"/>
      <c r="AD1269" s="585"/>
      <c r="AE1269" s="188"/>
      <c r="AF1269" s="188"/>
      <c r="AG1269" s="1866"/>
      <c r="AH1269" s="1851"/>
      <c r="AO1269" s="13"/>
      <c r="AP1269" s="13"/>
    </row>
    <row r="1270" spans="1:42" ht="60.75" thickBot="1">
      <c r="A1270" s="187"/>
      <c r="B1270" s="189" t="s">
        <v>10</v>
      </c>
      <c r="C1270" s="190" t="s">
        <v>11</v>
      </c>
      <c r="D1270" s="190" t="s">
        <v>12</v>
      </c>
      <c r="E1270" s="190" t="s">
        <v>13</v>
      </c>
      <c r="F1270" s="190" t="s">
        <v>14</v>
      </c>
      <c r="G1270" s="191" t="s">
        <v>15</v>
      </c>
      <c r="H1270" s="347" t="s">
        <v>1090</v>
      </c>
      <c r="I1270" s="347">
        <f>$C$22</f>
        <v>0.45</v>
      </c>
      <c r="J1270" s="873">
        <f>$C$22</f>
        <v>0.45</v>
      </c>
      <c r="K1270" s="601" t="s">
        <v>15</v>
      </c>
      <c r="L1270" s="315" t="s">
        <v>12</v>
      </c>
      <c r="M1270" s="316" t="s">
        <v>1091</v>
      </c>
      <c r="N1270" s="605" t="s">
        <v>993</v>
      </c>
      <c r="O1270" s="1153" t="s">
        <v>1092</v>
      </c>
      <c r="P1270" s="602" t="s">
        <v>1092</v>
      </c>
      <c r="Q1270" s="875" t="s">
        <v>1093</v>
      </c>
      <c r="R1270" s="876" t="s">
        <v>1094</v>
      </c>
      <c r="S1270" s="1126" t="s">
        <v>1095</v>
      </c>
      <c r="T1270" s="1376" t="s">
        <v>1095</v>
      </c>
      <c r="U1270" s="204" t="s">
        <v>1096</v>
      </c>
      <c r="V1270" s="205" t="s">
        <v>1093</v>
      </c>
      <c r="W1270" s="206" t="s">
        <v>1094</v>
      </c>
      <c r="X1270" s="207" t="s">
        <v>1097</v>
      </c>
      <c r="Y1270" s="208">
        <f>$X$1235</f>
        <v>0.47</v>
      </c>
      <c r="Z1270" s="207" t="s">
        <v>1098</v>
      </c>
      <c r="AA1270" s="209" t="s">
        <v>1099</v>
      </c>
      <c r="AB1270" s="209" t="s">
        <v>1100</v>
      </c>
      <c r="AC1270" s="210" t="s">
        <v>1092</v>
      </c>
      <c r="AD1270" s="211" t="s">
        <v>1101</v>
      </c>
      <c r="AE1270" s="212" t="s">
        <v>1102</v>
      </c>
      <c r="AF1270" s="208" t="s">
        <v>1103</v>
      </c>
      <c r="AG1270" s="1867" t="s">
        <v>1104</v>
      </c>
      <c r="AH1270" s="213" t="s">
        <v>1105</v>
      </c>
      <c r="AI1270" s="220" t="s">
        <v>1106</v>
      </c>
      <c r="AJ1270" s="483" t="s">
        <v>1107</v>
      </c>
      <c r="AK1270" s="484" t="s">
        <v>1108</v>
      </c>
      <c r="AL1270" s="221" t="s">
        <v>1109</v>
      </c>
      <c r="AM1270" s="221" t="s">
        <v>1175</v>
      </c>
      <c r="AN1270" s="221" t="s">
        <v>1176</v>
      </c>
      <c r="AO1270" s="13"/>
      <c r="AP1270" s="13"/>
    </row>
    <row r="1271" spans="1:42" ht="15.75">
      <c r="A1271" s="187"/>
      <c r="B1271" s="699" t="s">
        <v>476</v>
      </c>
      <c r="C1271" s="250" t="s">
        <v>401</v>
      </c>
      <c r="D1271" s="251">
        <v>64</v>
      </c>
      <c r="E1271" s="251">
        <v>10</v>
      </c>
      <c r="F1271" s="251">
        <v>150</v>
      </c>
      <c r="G1271" s="328">
        <v>114</v>
      </c>
      <c r="H1271" s="453">
        <f t="shared" ref="H1271:H1276" si="911">G1271*(1+$H$33)</f>
        <v>121.98</v>
      </c>
      <c r="I1271" s="453">
        <f t="shared" ref="I1271:I1276" si="912">H1271-H1271*$J$1239</f>
        <v>67.088999999999999</v>
      </c>
      <c r="J1271" s="1045">
        <f t="shared" ref="J1271:J1276" si="913">G1271-G1271*$J$1239</f>
        <v>62.699999999999996</v>
      </c>
      <c r="K1271" s="1094">
        <v>151</v>
      </c>
      <c r="L1271" s="322">
        <v>63</v>
      </c>
      <c r="M1271" s="323">
        <f t="shared" ref="M1271:M1276" si="914">L1271/D1271*100%</f>
        <v>0.984375</v>
      </c>
      <c r="N1271" s="765">
        <f t="shared" ref="N1271:N1276" si="915">K1271-(K1271*$O$33)</f>
        <v>75.5</v>
      </c>
      <c r="O1271" s="469">
        <f t="shared" ref="O1271:O1276" si="916">((N1271/J1271)-1)*100%</f>
        <v>0.20414673046251997</v>
      </c>
      <c r="P1271" s="472">
        <f t="shared" ref="P1271:P1276" si="917">((N1271/I1271)-1)*100%</f>
        <v>0.12537077613319614</v>
      </c>
      <c r="Q1271" s="336">
        <v>0.90735426008968612</v>
      </c>
      <c r="R1271" s="382">
        <f t="shared" ref="R1271:R1276" si="918">Q1271*$R$33</f>
        <v>42.675592914798209</v>
      </c>
      <c r="S1271" s="918">
        <f t="shared" ref="S1271:S1276" si="919">((J1271-R1271)/J1271)*100%</f>
        <v>0.31936853405425497</v>
      </c>
      <c r="T1271" s="696">
        <f t="shared" ref="T1271:T1276" si="920">((I1271-R1271)/I1271)*100%</f>
        <v>0.36389582621892991</v>
      </c>
      <c r="U1271" s="1358">
        <v>0.65900000000000003</v>
      </c>
      <c r="V1271" s="1359">
        <f t="shared" ref="V1271:V1276" si="921">U1271*$U$1234</f>
        <v>0.86658500000000005</v>
      </c>
      <c r="W1271" s="1359">
        <f t="shared" ref="W1271:W1276" si="922">V1271*$R$33</f>
        <v>40.758092305000005</v>
      </c>
      <c r="X1271" s="1360">
        <f>(ROUND(W1271/(1-$AA$1269),0))</f>
        <v>70</v>
      </c>
      <c r="Y1271" s="1359">
        <f t="shared" ref="Y1271:Y1276" si="923">Z1271*(1-$X$1235)</f>
        <v>67.31</v>
      </c>
      <c r="Z1271" s="1360">
        <f t="shared" ref="Z1271:Z1276" si="924">ROUND(X1271/(1-$X$1234),0)</f>
        <v>127</v>
      </c>
      <c r="AA1271" s="1361">
        <f t="shared" ref="AA1271:AA1276" si="925">((X1271-W1271)/X1271)*100%</f>
        <v>0.4177415384999999</v>
      </c>
      <c r="AB1271" s="1361">
        <f t="shared" ref="AB1271:AB1276" si="926">((Y1271-W1271)/Y1271)*100%</f>
        <v>0.39447196100133702</v>
      </c>
      <c r="AC1271" s="1696">
        <f t="shared" ref="AC1271:AC1276" si="927">((N1271/Y1271)-1)*100%</f>
        <v>0.12167582825731693</v>
      </c>
      <c r="AD1271" s="1669">
        <f t="shared" ref="AD1271:AD1276" si="928">((N1271*0.96-W1271)/(N1271*0.96))*100%</f>
        <v>0.43766428939017654</v>
      </c>
      <c r="AE1271" s="261">
        <f t="shared" ref="AE1271:AE1276" si="929">N1271/$R$33</f>
        <v>1.6052558841664364</v>
      </c>
      <c r="AF1271" s="1359">
        <f>(V1271/(1-$AA$1269))</f>
        <v>1.4941120689655172</v>
      </c>
      <c r="AG1271" s="1896">
        <v>2.72</v>
      </c>
      <c r="AH1271" s="1361">
        <f t="shared" ref="AH1271:AH1276" si="930">((AF1271-V1271)/AF1271)*100%</f>
        <v>0.41999999999999993</v>
      </c>
      <c r="AI1271" s="92">
        <f t="shared" ref="AI1271:AI1276" si="931">AJ1271/$AJ$1277</f>
        <v>0.50055617352614012</v>
      </c>
      <c r="AJ1271" s="338">
        <v>450</v>
      </c>
      <c r="AK1271" s="297">
        <f t="shared" ref="AK1271:AK1276" si="932">Q1271*S1271*AJ1271</f>
        <v>130.40117996072681</v>
      </c>
      <c r="AL1271" s="866">
        <f t="shared" ref="AL1271:AL1276" si="933">AK1271/$AK$1277</f>
        <v>0.34410685702786614</v>
      </c>
      <c r="AM1271" s="92">
        <f t="shared" ref="AM1271:AM1276" si="934">AJ1271/$AJ$1359</f>
        <v>5.8352135688166185E-3</v>
      </c>
      <c r="AN1271" s="92">
        <f t="shared" ref="AN1271:AN1276" si="935">AK1271/$AK$1359</f>
        <v>1.3985374793738741E-2</v>
      </c>
      <c r="AO1271" s="13"/>
      <c r="AP1271" s="13"/>
    </row>
    <row r="1272" spans="1:42" ht="15.75">
      <c r="A1272" s="271"/>
      <c r="B1272" s="699" t="s">
        <v>477</v>
      </c>
      <c r="C1272" s="250" t="s">
        <v>403</v>
      </c>
      <c r="D1272" s="251">
        <v>82</v>
      </c>
      <c r="E1272" s="251">
        <v>10</v>
      </c>
      <c r="F1272" s="251">
        <v>120</v>
      </c>
      <c r="G1272" s="328">
        <v>164</v>
      </c>
      <c r="H1272" s="453">
        <f t="shared" si="911"/>
        <v>175.48000000000002</v>
      </c>
      <c r="I1272" s="453">
        <f t="shared" si="912"/>
        <v>96.51400000000001</v>
      </c>
      <c r="J1272" s="1045">
        <f t="shared" si="913"/>
        <v>90.2</v>
      </c>
      <c r="K1272" s="1094">
        <v>216</v>
      </c>
      <c r="L1272" s="322">
        <v>93</v>
      </c>
      <c r="M1272" s="335">
        <f t="shared" si="914"/>
        <v>1.1341463414634145</v>
      </c>
      <c r="N1272" s="765">
        <f t="shared" si="915"/>
        <v>108</v>
      </c>
      <c r="O1272" s="469">
        <f t="shared" si="916"/>
        <v>0.19733924611973386</v>
      </c>
      <c r="P1272" s="472">
        <f t="shared" si="917"/>
        <v>0.11900864123339616</v>
      </c>
      <c r="Q1272" s="336">
        <v>1.1034602076124569</v>
      </c>
      <c r="R1272" s="382">
        <f t="shared" si="918"/>
        <v>51.899043944636688</v>
      </c>
      <c r="S1272" s="918">
        <f t="shared" si="919"/>
        <v>0.42462257267586823</v>
      </c>
      <c r="T1272" s="696">
        <f t="shared" si="920"/>
        <v>0.46226408661296098</v>
      </c>
      <c r="U1272" s="1358">
        <v>0.84499999999999997</v>
      </c>
      <c r="V1272" s="1359">
        <f t="shared" si="921"/>
        <v>1.111175</v>
      </c>
      <c r="W1272" s="1359">
        <f t="shared" si="922"/>
        <v>52.261893775000004</v>
      </c>
      <c r="X1272" s="1360">
        <f>(ROUND(W1272/(1-$AB$1269),0))</f>
        <v>97</v>
      </c>
      <c r="Y1272" s="1359">
        <f t="shared" si="923"/>
        <v>93.28</v>
      </c>
      <c r="Z1272" s="1360">
        <f t="shared" si="924"/>
        <v>176</v>
      </c>
      <c r="AA1272" s="1361">
        <f t="shared" si="925"/>
        <v>0.46121758994845358</v>
      </c>
      <c r="AB1272" s="1361">
        <f t="shared" si="926"/>
        <v>0.43973098440180097</v>
      </c>
      <c r="AC1272" s="1696">
        <f t="shared" si="927"/>
        <v>0.15780445969125223</v>
      </c>
      <c r="AD1272" s="1669">
        <f t="shared" si="928"/>
        <v>0.49593080849729931</v>
      </c>
      <c r="AE1272" s="261">
        <f t="shared" si="929"/>
        <v>2.2962600727149023</v>
      </c>
      <c r="AF1272" s="1359">
        <f>(V1272/(1-$AB$1269))</f>
        <v>2.0577314814814813</v>
      </c>
      <c r="AG1272" s="1896">
        <v>3.74</v>
      </c>
      <c r="AH1272" s="1361">
        <f t="shared" si="930"/>
        <v>0.45999999999999996</v>
      </c>
      <c r="AI1272" s="77">
        <f t="shared" si="931"/>
        <v>0.12903225806451613</v>
      </c>
      <c r="AJ1272" s="333">
        <v>116</v>
      </c>
      <c r="AK1272" s="270">
        <f t="shared" si="932"/>
        <v>54.352277015414501</v>
      </c>
      <c r="AL1272" s="506">
        <f t="shared" si="933"/>
        <v>0.14342654891401313</v>
      </c>
      <c r="AM1272" s="77">
        <f t="shared" si="934"/>
        <v>1.5041883866282839E-3</v>
      </c>
      <c r="AN1272" s="77">
        <f t="shared" si="935"/>
        <v>5.8292184563254381E-3</v>
      </c>
      <c r="AO1272" s="13"/>
      <c r="AP1272" s="13"/>
    </row>
    <row r="1273" spans="1:42" ht="15.75">
      <c r="A1273" s="271"/>
      <c r="B1273" s="250" t="s">
        <v>478</v>
      </c>
      <c r="C1273" s="250" t="s">
        <v>405</v>
      </c>
      <c r="D1273" s="251">
        <v>90</v>
      </c>
      <c r="E1273" s="251">
        <v>5</v>
      </c>
      <c r="F1273" s="251">
        <v>100</v>
      </c>
      <c r="G1273" s="328">
        <v>172</v>
      </c>
      <c r="H1273" s="453">
        <f t="shared" si="911"/>
        <v>184.04000000000002</v>
      </c>
      <c r="I1273" s="453">
        <f t="shared" si="912"/>
        <v>101.22200000000001</v>
      </c>
      <c r="J1273" s="1045">
        <f t="shared" si="913"/>
        <v>94.6</v>
      </c>
      <c r="K1273" s="1094">
        <v>228</v>
      </c>
      <c r="L1273" s="322">
        <v>99</v>
      </c>
      <c r="M1273" s="335">
        <f t="shared" si="914"/>
        <v>1.1000000000000001</v>
      </c>
      <c r="N1273" s="765">
        <f t="shared" si="915"/>
        <v>114</v>
      </c>
      <c r="O1273" s="469">
        <f t="shared" si="916"/>
        <v>0.20507399577167029</v>
      </c>
      <c r="P1273" s="472">
        <f t="shared" si="917"/>
        <v>0.12623737922585998</v>
      </c>
      <c r="Q1273" s="336">
        <v>1.2082958665699783</v>
      </c>
      <c r="R1273" s="382">
        <f t="shared" si="918"/>
        <v>56.829779492385789</v>
      </c>
      <c r="S1273" s="918">
        <f t="shared" si="919"/>
        <v>0.39926237323059416</v>
      </c>
      <c r="T1273" s="696">
        <f t="shared" si="920"/>
        <v>0.43856296563606939</v>
      </c>
      <c r="U1273" s="1358">
        <v>0.92700000000000005</v>
      </c>
      <c r="V1273" s="1359">
        <f t="shared" si="921"/>
        <v>1.2190050000000001</v>
      </c>
      <c r="W1273" s="1359">
        <f t="shared" si="922"/>
        <v>57.333462165000007</v>
      </c>
      <c r="X1273" s="1360">
        <f>(ROUND(W1273/(1-$AB$1269),0))</f>
        <v>106</v>
      </c>
      <c r="Y1273" s="1359">
        <f t="shared" si="923"/>
        <v>102.29</v>
      </c>
      <c r="Z1273" s="1360">
        <f t="shared" si="924"/>
        <v>193</v>
      </c>
      <c r="AA1273" s="1361">
        <f t="shared" si="925"/>
        <v>0.45911828146226408</v>
      </c>
      <c r="AB1273" s="1361">
        <f t="shared" si="926"/>
        <v>0.43950080980545503</v>
      </c>
      <c r="AC1273" s="1696">
        <f t="shared" si="927"/>
        <v>0.11447844364062942</v>
      </c>
      <c r="AD1273" s="1669">
        <f t="shared" si="928"/>
        <v>0.47611968050986836</v>
      </c>
      <c r="AE1273" s="261">
        <f t="shared" si="929"/>
        <v>2.4238300767546188</v>
      </c>
      <c r="AF1273" s="1359">
        <f>(V1273/(1-$AB$1269))</f>
        <v>2.2574166666666668</v>
      </c>
      <c r="AG1273" s="1896">
        <v>4.0999999999999996</v>
      </c>
      <c r="AH1273" s="1361">
        <f t="shared" si="930"/>
        <v>0.45999999999999996</v>
      </c>
      <c r="AI1273" s="77">
        <f t="shared" si="931"/>
        <v>0.20244716351501668</v>
      </c>
      <c r="AJ1273" s="333">
        <v>182</v>
      </c>
      <c r="AK1273" s="270">
        <f t="shared" si="932"/>
        <v>87.801727695763333</v>
      </c>
      <c r="AL1273" s="506">
        <f t="shared" si="933"/>
        <v>0.23169404270808769</v>
      </c>
      <c r="AM1273" s="77">
        <f t="shared" si="934"/>
        <v>2.3600197100547213E-3</v>
      </c>
      <c r="AN1273" s="77">
        <f t="shared" si="935"/>
        <v>9.4166331143081868E-3</v>
      </c>
      <c r="AO1273" s="13"/>
      <c r="AP1273" s="13"/>
    </row>
    <row r="1274" spans="1:42" ht="15.75">
      <c r="A1274" s="271"/>
      <c r="B1274" s="250" t="s">
        <v>548</v>
      </c>
      <c r="C1274" s="250" t="s">
        <v>550</v>
      </c>
      <c r="D1274" s="251">
        <v>112</v>
      </c>
      <c r="E1274" s="251">
        <v>5</v>
      </c>
      <c r="F1274" s="251">
        <v>80</v>
      </c>
      <c r="G1274" s="328">
        <v>240</v>
      </c>
      <c r="H1274" s="453">
        <f t="shared" si="911"/>
        <v>256.8</v>
      </c>
      <c r="I1274" s="453">
        <f t="shared" si="912"/>
        <v>141.24</v>
      </c>
      <c r="J1274" s="1045">
        <f t="shared" si="913"/>
        <v>132</v>
      </c>
      <c r="K1274" s="1094">
        <v>317</v>
      </c>
      <c r="L1274" s="322">
        <v>132</v>
      </c>
      <c r="M1274" s="335">
        <f t="shared" si="914"/>
        <v>1.1785714285714286</v>
      </c>
      <c r="N1274" s="765">
        <f t="shared" si="915"/>
        <v>158.5</v>
      </c>
      <c r="O1274" s="469">
        <f t="shared" si="916"/>
        <v>0.20075757575757569</v>
      </c>
      <c r="P1274" s="472">
        <f t="shared" si="917"/>
        <v>0.12220334182950987</v>
      </c>
      <c r="Q1274" s="336">
        <v>1.6369008009858288</v>
      </c>
      <c r="R1274" s="382">
        <f t="shared" si="918"/>
        <v>76.988355372766492</v>
      </c>
      <c r="S1274" s="918">
        <f t="shared" si="919"/>
        <v>0.41675488353964779</v>
      </c>
      <c r="T1274" s="696">
        <f t="shared" si="920"/>
        <v>0.4549111061118204</v>
      </c>
      <c r="U1274" s="261">
        <v>1.1539999999999999</v>
      </c>
      <c r="V1274" s="1359">
        <f t="shared" si="921"/>
        <v>1.5175099999999999</v>
      </c>
      <c r="W1274" s="1359">
        <f t="shared" si="922"/>
        <v>71.373047830000004</v>
      </c>
      <c r="X1274" s="1360">
        <f>(ROUND(W1274/(1-$AB$1269),0))</f>
        <v>132</v>
      </c>
      <c r="Y1274" s="1359">
        <f t="shared" si="923"/>
        <v>127.2</v>
      </c>
      <c r="Z1274" s="1360">
        <f t="shared" si="924"/>
        <v>240</v>
      </c>
      <c r="AA1274" s="1361">
        <f t="shared" si="925"/>
        <v>0.45929509219696968</v>
      </c>
      <c r="AB1274" s="1361">
        <f t="shared" si="926"/>
        <v>0.43889113341194969</v>
      </c>
      <c r="AC1274" s="1696">
        <f t="shared" si="927"/>
        <v>0.24606918238993702</v>
      </c>
      <c r="AD1274" s="1669">
        <f t="shared" si="928"/>
        <v>0.53093422824658254</v>
      </c>
      <c r="AE1274" s="261">
        <f t="shared" si="929"/>
        <v>3.3699742733825184</v>
      </c>
      <c r="AF1274" s="1359">
        <f>(V1274/(1-$AB$1269))</f>
        <v>2.8102037037037033</v>
      </c>
      <c r="AG1274" s="1896">
        <v>5.1100000000000003</v>
      </c>
      <c r="AH1274" s="1361">
        <f t="shared" si="930"/>
        <v>0.45999999999999996</v>
      </c>
      <c r="AI1274" s="77">
        <f t="shared" si="931"/>
        <v>3.0033370411568408E-2</v>
      </c>
      <c r="AJ1274" s="333">
        <v>27</v>
      </c>
      <c r="AK1274" s="270">
        <f t="shared" si="932"/>
        <v>18.419032872381742</v>
      </c>
      <c r="AL1274" s="506">
        <f t="shared" si="933"/>
        <v>4.8604740487142015E-2</v>
      </c>
      <c r="AM1274" s="77">
        <f t="shared" si="934"/>
        <v>3.501128141289971E-4</v>
      </c>
      <c r="AN1274" s="77">
        <f t="shared" si="935"/>
        <v>1.97541984003545E-3</v>
      </c>
      <c r="AO1274" s="13"/>
      <c r="AP1274" s="13"/>
    </row>
    <row r="1275" spans="1:42" ht="15.75">
      <c r="A1275" s="187"/>
      <c r="B1275" s="250" t="s">
        <v>549</v>
      </c>
      <c r="C1275" s="250" t="s">
        <v>551</v>
      </c>
      <c r="D1275" s="251">
        <v>120</v>
      </c>
      <c r="E1275" s="251">
        <v>5</v>
      </c>
      <c r="F1275" s="251">
        <v>80</v>
      </c>
      <c r="G1275" s="328">
        <v>280</v>
      </c>
      <c r="H1275" s="453">
        <f t="shared" si="911"/>
        <v>299.60000000000002</v>
      </c>
      <c r="I1275" s="453">
        <f t="shared" si="912"/>
        <v>164.78</v>
      </c>
      <c r="J1275" s="1045">
        <f t="shared" si="913"/>
        <v>154</v>
      </c>
      <c r="K1275" s="1094">
        <v>378</v>
      </c>
      <c r="L1275" s="322">
        <v>137</v>
      </c>
      <c r="M1275" s="335">
        <f t="shared" si="914"/>
        <v>1.1416666666666666</v>
      </c>
      <c r="N1275" s="765">
        <f t="shared" si="915"/>
        <v>189</v>
      </c>
      <c r="O1275" s="469">
        <f t="shared" si="916"/>
        <v>0.22727272727272729</v>
      </c>
      <c r="P1275" s="472">
        <f t="shared" si="917"/>
        <v>0.14698385726423102</v>
      </c>
      <c r="Q1275" s="336">
        <v>1.7204738154613466</v>
      </c>
      <c r="R1275" s="382">
        <f t="shared" si="918"/>
        <v>80.919044962593517</v>
      </c>
      <c r="S1275" s="918">
        <f t="shared" si="919"/>
        <v>0.47455165608705507</v>
      </c>
      <c r="T1275" s="696">
        <f t="shared" si="920"/>
        <v>0.5089267813897711</v>
      </c>
      <c r="U1275" s="261">
        <v>1.236</v>
      </c>
      <c r="V1275" s="1359">
        <f t="shared" si="921"/>
        <v>1.62534</v>
      </c>
      <c r="W1275" s="1359">
        <f t="shared" si="922"/>
        <v>76.44461622</v>
      </c>
      <c r="X1275" s="1360">
        <f>(ROUND(W1275/(1-$AB$1269),0))</f>
        <v>142</v>
      </c>
      <c r="Y1275" s="1359">
        <f t="shared" si="923"/>
        <v>136.74</v>
      </c>
      <c r="Z1275" s="1360">
        <f t="shared" si="924"/>
        <v>258</v>
      </c>
      <c r="AA1275" s="1361">
        <f t="shared" si="925"/>
        <v>0.46165763225352113</v>
      </c>
      <c r="AB1275" s="1361">
        <f t="shared" si="926"/>
        <v>0.44094912812637127</v>
      </c>
      <c r="AC1275" s="1696">
        <f t="shared" si="927"/>
        <v>0.38218516893374277</v>
      </c>
      <c r="AD1275" s="1669">
        <f t="shared" si="928"/>
        <v>0.57867826157407409</v>
      </c>
      <c r="AE1275" s="261">
        <f t="shared" si="929"/>
        <v>4.0184551272510793</v>
      </c>
      <c r="AF1275" s="1359">
        <f>(V1275/(1-$AB$1269))</f>
        <v>3.0098888888888888</v>
      </c>
      <c r="AG1275" s="1896">
        <v>5.47</v>
      </c>
      <c r="AH1275" s="1361">
        <f t="shared" si="930"/>
        <v>0.45999999999999996</v>
      </c>
      <c r="AI1275" s="77">
        <f t="shared" si="931"/>
        <v>5.116796440489433E-2</v>
      </c>
      <c r="AJ1275" s="333">
        <v>46</v>
      </c>
      <c r="AK1275" s="270">
        <f t="shared" si="932"/>
        <v>37.556870125553438</v>
      </c>
      <c r="AL1275" s="506">
        <f t="shared" si="933"/>
        <v>9.9106285254475249E-2</v>
      </c>
      <c r="AM1275" s="77">
        <f t="shared" si="934"/>
        <v>5.9648849814569879E-4</v>
      </c>
      <c r="AN1275" s="77">
        <f t="shared" si="935"/>
        <v>4.027930613387274E-3</v>
      </c>
      <c r="AO1275" s="13"/>
      <c r="AP1275" s="13"/>
    </row>
    <row r="1276" spans="1:42" ht="16.5" thickBot="1">
      <c r="A1276" s="187"/>
      <c r="B1276" s="699" t="s">
        <v>479</v>
      </c>
      <c r="C1276" s="250" t="s">
        <v>480</v>
      </c>
      <c r="D1276" s="251">
        <v>135</v>
      </c>
      <c r="E1276" s="251">
        <v>5</v>
      </c>
      <c r="F1276" s="251">
        <v>50</v>
      </c>
      <c r="G1276" s="328">
        <v>244</v>
      </c>
      <c r="H1276" s="453">
        <f t="shared" si="911"/>
        <v>261.08000000000004</v>
      </c>
      <c r="I1276" s="453">
        <f t="shared" si="912"/>
        <v>143.59400000000002</v>
      </c>
      <c r="J1276" s="1045">
        <f t="shared" si="913"/>
        <v>134.19999999999999</v>
      </c>
      <c r="K1276" s="1094">
        <v>323</v>
      </c>
      <c r="L1276" s="322">
        <v>151</v>
      </c>
      <c r="M1276" s="335">
        <f t="shared" si="914"/>
        <v>1.1185185185185185</v>
      </c>
      <c r="N1276" s="765">
        <f t="shared" si="915"/>
        <v>161.5</v>
      </c>
      <c r="O1276" s="469">
        <f t="shared" si="916"/>
        <v>0.20342771982116248</v>
      </c>
      <c r="P1276" s="475">
        <f t="shared" si="917"/>
        <v>0.12469880357117957</v>
      </c>
      <c r="Q1276" s="336">
        <v>1.8634408602150536</v>
      </c>
      <c r="R1276" s="382">
        <f t="shared" si="918"/>
        <v>87.643213978494614</v>
      </c>
      <c r="S1276" s="918">
        <f t="shared" si="919"/>
        <v>0.34692090925115782</v>
      </c>
      <c r="T1276" s="919">
        <f t="shared" si="920"/>
        <v>0.38964570958052147</v>
      </c>
      <c r="U1276" s="261">
        <v>1.391</v>
      </c>
      <c r="V1276" s="1359">
        <f t="shared" si="921"/>
        <v>1.8291649999999999</v>
      </c>
      <c r="W1276" s="1359">
        <f t="shared" si="922"/>
        <v>86.031117444999992</v>
      </c>
      <c r="X1276" s="1360">
        <f>(ROUND(W1276/(1-$AA$1269),0))</f>
        <v>148</v>
      </c>
      <c r="Y1276" s="1359">
        <f t="shared" si="923"/>
        <v>142.57</v>
      </c>
      <c r="Z1276" s="1360">
        <f t="shared" si="924"/>
        <v>269</v>
      </c>
      <c r="AA1276" s="1361">
        <f t="shared" si="925"/>
        <v>0.41870866591216221</v>
      </c>
      <c r="AB1276" s="1361">
        <f t="shared" si="926"/>
        <v>0.39656928214210568</v>
      </c>
      <c r="AC1276" s="1696">
        <f t="shared" si="927"/>
        <v>0.13277688153187905</v>
      </c>
      <c r="AD1276" s="1669">
        <f t="shared" si="928"/>
        <v>0.44510373164989681</v>
      </c>
      <c r="AE1276" s="261">
        <f t="shared" si="929"/>
        <v>3.4337592754023771</v>
      </c>
      <c r="AF1276" s="1359">
        <f>(V1276/(1-$AA$1269))</f>
        <v>3.1537327586206891</v>
      </c>
      <c r="AG1276" s="1896">
        <v>5.74</v>
      </c>
      <c r="AH1276" s="1361">
        <f t="shared" si="930"/>
        <v>0.41999999999999993</v>
      </c>
      <c r="AI1276" s="77">
        <f t="shared" si="931"/>
        <v>8.6763070077864296E-2</v>
      </c>
      <c r="AJ1276" s="333">
        <v>78</v>
      </c>
      <c r="AK1276" s="270">
        <f t="shared" si="932"/>
        <v>50.424394609802157</v>
      </c>
      <c r="AL1276" s="506">
        <f t="shared" si="933"/>
        <v>0.13306152560841586</v>
      </c>
      <c r="AM1276" s="77">
        <f t="shared" si="934"/>
        <v>1.0114370185948806E-3</v>
      </c>
      <c r="AN1276" s="77">
        <f t="shared" si="935"/>
        <v>5.4079576394772694E-3</v>
      </c>
      <c r="AO1276" s="13"/>
      <c r="AP1276" s="13"/>
    </row>
    <row r="1277" spans="1:42" ht="15.75" thickBot="1">
      <c r="A1277" s="149" t="s">
        <v>160</v>
      </c>
      <c r="B1277" s="2"/>
      <c r="C1277" s="413"/>
      <c r="D1277" s="414"/>
      <c r="E1277" s="414"/>
      <c r="F1277" s="414"/>
      <c r="G1277" s="827"/>
      <c r="H1277" s="785"/>
      <c r="I1277" s="785"/>
      <c r="J1277" s="897"/>
      <c r="K1277" s="533"/>
      <c r="N1277" s="1756"/>
      <c r="P1277" s="886"/>
      <c r="Q1277" s="1091"/>
      <c r="R1277" s="1092"/>
      <c r="S1277" s="1092"/>
      <c r="T1277" s="365"/>
      <c r="U1277" s="366"/>
      <c r="V1277" s="366"/>
      <c r="W1277" s="366"/>
      <c r="X1277" s="366"/>
      <c r="Y1277" s="366"/>
      <c r="Z1277" s="366"/>
      <c r="AA1277" s="367"/>
      <c r="AB1277" s="367"/>
      <c r="AC1277" s="367"/>
      <c r="AD1277" s="367">
        <f>AVERAGE(AD1271:AD1276)</f>
        <v>0.49407183331131627</v>
      </c>
      <c r="AE1277" s="366"/>
      <c r="AF1277" s="366"/>
      <c r="AG1277" s="1872"/>
      <c r="AH1277" s="367"/>
      <c r="AI1277" s="512">
        <f>S1271*AI1271+S1272*AI1272+S1273*AI1273+S1274*AI1274+S1275*AI1275+S1276*AI1276</f>
        <v>0.36237975488314672</v>
      </c>
      <c r="AJ1277" s="513">
        <f>SUM(AJ1271:AJ1276)</f>
        <v>899</v>
      </c>
      <c r="AK1277" s="514">
        <f>SUM(AK1271:AK1276)</f>
        <v>378.95548227964196</v>
      </c>
      <c r="AM1277" s="307">
        <f>SUM(AM1271:AM1276)</f>
        <v>1.1657459996369201E-2</v>
      </c>
      <c r="AN1277" s="307">
        <f>SUM(AN1271:AN1276)</f>
        <v>4.0642534457272353E-2</v>
      </c>
      <c r="AO1277" s="13"/>
      <c r="AP1277" s="13"/>
    </row>
    <row r="1278" spans="1:42" ht="15.75" thickBot="1">
      <c r="A1278" s="187"/>
      <c r="B1278" s="157"/>
      <c r="C1278" s="157" t="s">
        <v>161</v>
      </c>
      <c r="J1278" s="532"/>
      <c r="K1278" s="1850" t="s">
        <v>1490</v>
      </c>
      <c r="L1278" s="1850"/>
      <c r="M1278" s="1850"/>
      <c r="N1278" s="898"/>
      <c r="O1278" s="899"/>
      <c r="P1278" s="459"/>
      <c r="U1278" s="309"/>
      <c r="V1278" s="309"/>
      <c r="W1278" s="309"/>
      <c r="X1278" s="309"/>
      <c r="Y1278" s="309"/>
      <c r="Z1278" s="309"/>
      <c r="AA1278" s="346">
        <v>0.19</v>
      </c>
      <c r="AB1278" s="628">
        <v>0.24</v>
      </c>
      <c r="AC1278" s="628">
        <v>0.28000000000000003</v>
      </c>
      <c r="AD1278" s="585">
        <v>0.12</v>
      </c>
      <c r="AE1278" s="188"/>
      <c r="AF1278" s="188"/>
      <c r="AG1278" s="1866"/>
      <c r="AH1278" s="1851"/>
      <c r="AO1278" s="13"/>
      <c r="AP1278" s="13"/>
    </row>
    <row r="1279" spans="1:42" ht="60.75" thickBot="1">
      <c r="A1279" s="187"/>
      <c r="B1279" s="189" t="s">
        <v>10</v>
      </c>
      <c r="C1279" s="190" t="s">
        <v>11</v>
      </c>
      <c r="D1279" s="190" t="s">
        <v>12</v>
      </c>
      <c r="E1279" s="190" t="s">
        <v>13</v>
      </c>
      <c r="F1279" s="190" t="s">
        <v>14</v>
      </c>
      <c r="G1279" s="191" t="s">
        <v>15</v>
      </c>
      <c r="H1279" s="347" t="s">
        <v>1090</v>
      </c>
      <c r="I1279" s="347">
        <f>$C$22</f>
        <v>0.45</v>
      </c>
      <c r="J1279" s="873">
        <f>$C$22</f>
        <v>0.45</v>
      </c>
      <c r="K1279" s="601" t="s">
        <v>15</v>
      </c>
      <c r="L1279" s="315" t="s">
        <v>12</v>
      </c>
      <c r="M1279" s="316" t="s">
        <v>1091</v>
      </c>
      <c r="N1279" s="605" t="s">
        <v>993</v>
      </c>
      <c r="O1279" s="317" t="s">
        <v>1092</v>
      </c>
      <c r="P1279" s="602" t="s">
        <v>1092</v>
      </c>
      <c r="Q1279" s="875" t="s">
        <v>1093</v>
      </c>
      <c r="R1279" s="876" t="s">
        <v>1094</v>
      </c>
      <c r="S1279" s="1126" t="s">
        <v>1095</v>
      </c>
      <c r="T1279" s="1376" t="s">
        <v>1095</v>
      </c>
      <c r="U1279" s="204" t="s">
        <v>1096</v>
      </c>
      <c r="V1279" s="205" t="s">
        <v>1093</v>
      </c>
      <c r="W1279" s="206" t="s">
        <v>1094</v>
      </c>
      <c r="X1279" s="207" t="s">
        <v>1097</v>
      </c>
      <c r="Y1279" s="208">
        <f>$X$1235</f>
        <v>0.47</v>
      </c>
      <c r="Z1279" s="207" t="s">
        <v>1098</v>
      </c>
      <c r="AA1279" s="209" t="s">
        <v>1099</v>
      </c>
      <c r="AB1279" s="209" t="s">
        <v>1100</v>
      </c>
      <c r="AC1279" s="210" t="s">
        <v>1092</v>
      </c>
      <c r="AD1279" s="211" t="s">
        <v>1101</v>
      </c>
      <c r="AE1279" s="212" t="s">
        <v>1102</v>
      </c>
      <c r="AF1279" s="208" t="s">
        <v>1103</v>
      </c>
      <c r="AG1279" s="1867" t="s">
        <v>1104</v>
      </c>
      <c r="AH1279" s="213" t="s">
        <v>1105</v>
      </c>
      <c r="AI1279" s="220" t="s">
        <v>1106</v>
      </c>
      <c r="AJ1279" s="483" t="s">
        <v>1107</v>
      </c>
      <c r="AK1279" s="484" t="s">
        <v>1108</v>
      </c>
      <c r="AL1279" s="221" t="s">
        <v>1109</v>
      </c>
      <c r="AM1279" s="221" t="s">
        <v>1175</v>
      </c>
      <c r="AN1279" s="221" t="s">
        <v>1176</v>
      </c>
      <c r="AO1279" s="13"/>
      <c r="AP1279" s="13"/>
    </row>
    <row r="1280" spans="1:42" ht="15.75">
      <c r="A1280" s="187"/>
      <c r="B1280" s="699" t="s">
        <v>481</v>
      </c>
      <c r="C1280" s="250">
        <v>16</v>
      </c>
      <c r="D1280" s="251">
        <v>113</v>
      </c>
      <c r="E1280" s="251">
        <v>5</v>
      </c>
      <c r="F1280" s="251">
        <v>100</v>
      </c>
      <c r="G1280" s="328">
        <v>136</v>
      </c>
      <c r="H1280" s="453">
        <f>G1280*(1+$H$33)</f>
        <v>145.52000000000001</v>
      </c>
      <c r="I1280" s="453">
        <f>H1280-H1280*$J$1239</f>
        <v>80.036000000000001</v>
      </c>
      <c r="J1280" s="1045">
        <f t="shared" ref="J1280:J1285" si="936">G1280-G1280*$J$1239</f>
        <v>74.8</v>
      </c>
      <c r="K1280" s="1094">
        <v>179</v>
      </c>
      <c r="L1280" s="322">
        <v>95</v>
      </c>
      <c r="M1280" s="323">
        <f t="shared" ref="M1280:M1298" si="937">L1280/D1280*100%</f>
        <v>0.84070796460176989</v>
      </c>
      <c r="N1280" s="765">
        <f>K1280-(K1280*$O$33)</f>
        <v>89.5</v>
      </c>
      <c r="O1280" s="329">
        <f t="shared" ref="O1280:O1298" si="938">((N1280/J1280)-1)*100%</f>
        <v>0.196524064171123</v>
      </c>
      <c r="P1280" s="330">
        <f>((N1280/I1280)-1)*100%</f>
        <v>0.11824678894497476</v>
      </c>
      <c r="Q1280" s="336">
        <v>1.5202759276879163</v>
      </c>
      <c r="R1280" s="382">
        <f t="shared" ref="R1280:R1298" si="939">Q1280*$R$33</f>
        <v>71.503137706945765</v>
      </c>
      <c r="S1280" s="918">
        <f t="shared" ref="S1280:S1298" si="940">((J1280-R1280)/J1280)*100%</f>
        <v>4.4075699105003106E-2</v>
      </c>
      <c r="T1280" s="696">
        <f>((I1280-R1280)/I1280)*100%</f>
        <v>0.10661280290187211</v>
      </c>
      <c r="U1280" s="1358">
        <v>1.286</v>
      </c>
      <c r="V1280" s="1359">
        <f t="shared" ref="V1280:V1298" si="941">U1280*$U$1234</f>
        <v>1.69109</v>
      </c>
      <c r="W1280" s="1359">
        <f t="shared" ref="W1280:W1298" si="942">V1280*$R$33</f>
        <v>79.537035970000005</v>
      </c>
      <c r="X1280" s="1360">
        <f>(ROUND(W1280/(1-$AD$1278),0))</f>
        <v>90</v>
      </c>
      <c r="Y1280" s="1359">
        <f t="shared" ref="Y1280:Y1298" si="943">Z1280*(1-$X$1235)</f>
        <v>86.92</v>
      </c>
      <c r="Z1280" s="1360">
        <f t="shared" ref="Z1280:Z1298" si="944">ROUND(X1280/(1-$X$1234),0)</f>
        <v>164</v>
      </c>
      <c r="AA1280" s="1361">
        <f t="shared" ref="AA1280:AA1298" si="945">((X1280-W1280)/X1280)*100%</f>
        <v>0.11625515588888884</v>
      </c>
      <c r="AB1280" s="1361">
        <f t="shared" ref="AB1280:AB1298" si="946">((Y1280-W1280)/Y1280)*100%</f>
        <v>8.4939761044638712E-2</v>
      </c>
      <c r="AC1280" s="1696">
        <f>((N1280/Y1280)-1)*100%</f>
        <v>2.968246663598717E-2</v>
      </c>
      <c r="AD1280" s="1669">
        <f>((N1280*0.96-W1280)/(N1280*0.96))*100%</f>
        <v>7.4289618598696414E-2</v>
      </c>
      <c r="AE1280" s="261">
        <f t="shared" ref="AE1280:AE1298" si="947">N1280/$R$33</f>
        <v>1.9029192269257755</v>
      </c>
      <c r="AF1280" s="1359">
        <f>(V1280/(1-$AD$1278))</f>
        <v>1.9216931818181817</v>
      </c>
      <c r="AG1280" s="1896">
        <v>3.49</v>
      </c>
      <c r="AH1280" s="1361">
        <f t="shared" ref="AH1280:AH1298" si="948">((AF1280-V1280)/AF1280)*100%</f>
        <v>0.11999999999999997</v>
      </c>
      <c r="AI1280" s="77">
        <f>AJ1280/$AJ$1299</f>
        <v>0.22882651501253592</v>
      </c>
      <c r="AJ1280" s="333">
        <v>3742</v>
      </c>
      <c r="AK1280" s="270">
        <f t="shared" ref="AK1280:AK1298" si="949">Q1280*S1280*AJ1280</f>
        <v>250.7410335003074</v>
      </c>
      <c r="AL1280" s="506">
        <f>AK1280/$AK$1299</f>
        <v>3.6696903401652985E-2</v>
      </c>
      <c r="AM1280" s="77">
        <f t="shared" ref="AM1280:AM1298" si="950">AJ1280/$AJ$1359</f>
        <v>4.8523042610026192E-2</v>
      </c>
      <c r="AN1280" s="77">
        <f t="shared" ref="AN1280:AN1298" si="951">AK1280/$AK$1359</f>
        <v>2.6891684037884646E-2</v>
      </c>
      <c r="AO1280" s="13"/>
      <c r="AP1280" s="13"/>
    </row>
    <row r="1281" spans="1:42" ht="15.75">
      <c r="A1281" s="187"/>
      <c r="B1281" s="699" t="s">
        <v>482</v>
      </c>
      <c r="C1281" s="250">
        <v>20</v>
      </c>
      <c r="D1281" s="251">
        <v>139</v>
      </c>
      <c r="E1281" s="251">
        <v>10</v>
      </c>
      <c r="F1281" s="251">
        <v>50</v>
      </c>
      <c r="G1281" s="328">
        <v>212</v>
      </c>
      <c r="H1281" s="453">
        <f t="shared" ref="H1281:H1298" si="952">G1281*(1+$H$33)</f>
        <v>226.84</v>
      </c>
      <c r="I1281" s="453">
        <f t="shared" ref="I1281:I1298" si="953">H1281-H1281*$J$1239</f>
        <v>124.762</v>
      </c>
      <c r="J1281" s="1045">
        <f t="shared" si="936"/>
        <v>116.6</v>
      </c>
      <c r="K1281" s="1094">
        <v>279</v>
      </c>
      <c r="L1281" s="322">
        <v>144</v>
      </c>
      <c r="M1281" s="335">
        <f t="shared" si="937"/>
        <v>1.0359712230215827</v>
      </c>
      <c r="N1281" s="765">
        <f t="shared" ref="N1281:N1298" si="954">K1281-(K1281*$O$33)</f>
        <v>139.5</v>
      </c>
      <c r="O1281" s="329">
        <f t="shared" si="938"/>
        <v>0.1963979416809607</v>
      </c>
      <c r="P1281" s="330">
        <f t="shared" ref="P1281:P1298" si="955">((N1281/I1281)-1)*100%</f>
        <v>0.11812891745884158</v>
      </c>
      <c r="Q1281" s="336">
        <v>2.0332291666666671</v>
      </c>
      <c r="R1281" s="382">
        <f t="shared" si="939"/>
        <v>95.628867395833353</v>
      </c>
      <c r="S1281" s="918">
        <f t="shared" si="940"/>
        <v>0.179855339658376</v>
      </c>
      <c r="T1281" s="696">
        <f t="shared" ref="T1281:T1298" si="956">((I1281-R1281)/I1281)*100%</f>
        <v>0.23350966323212716</v>
      </c>
      <c r="U1281" s="1358">
        <v>1.7070000000000001</v>
      </c>
      <c r="V1281" s="1359">
        <f t="shared" si="941"/>
        <v>2.2447050000000002</v>
      </c>
      <c r="W1281" s="1359">
        <f t="shared" si="942"/>
        <v>105.57521026500001</v>
      </c>
      <c r="X1281" s="1360">
        <f>(ROUND(W1281/(1-$AA$1278),0))</f>
        <v>130</v>
      </c>
      <c r="Y1281" s="1359">
        <f t="shared" si="943"/>
        <v>125.08000000000001</v>
      </c>
      <c r="Z1281" s="1360">
        <f t="shared" si="944"/>
        <v>236</v>
      </c>
      <c r="AA1281" s="1361">
        <f t="shared" si="945"/>
        <v>0.1878829979615384</v>
      </c>
      <c r="AB1281" s="1361">
        <f t="shared" si="946"/>
        <v>0.15593851722897345</v>
      </c>
      <c r="AC1281" s="1696">
        <f t="shared" ref="AC1281:AC1298" si="957">((N1281/Y1281)-1)*100%</f>
        <v>0.1152862168212343</v>
      </c>
      <c r="AD1281" s="1669">
        <f t="shared" ref="AD1281:AD1298" si="958">((N1281*0.96-W1281)/(N1281*0.96))*100%</f>
        <v>0.21165464258512531</v>
      </c>
      <c r="AE1281" s="261">
        <f t="shared" si="947"/>
        <v>2.9660025939234154</v>
      </c>
      <c r="AF1281" s="1359">
        <f>(V1281/(1-$AA$1278))</f>
        <v>2.7712407407407409</v>
      </c>
      <c r="AG1281" s="1896">
        <v>5.04</v>
      </c>
      <c r="AH1281" s="1361">
        <f t="shared" si="948"/>
        <v>0.18999999999999997</v>
      </c>
      <c r="AI1281" s="1827">
        <f t="shared" ref="AI1281:AI1298" si="959">AJ1281/$AJ$1299</f>
        <v>0.25487678101877331</v>
      </c>
      <c r="AJ1281" s="1828">
        <v>4168</v>
      </c>
      <c r="AK1281" s="1829">
        <f t="shared" si="949"/>
        <v>1524.183926055458</v>
      </c>
      <c r="AL1281" s="1830">
        <f t="shared" ref="AL1281:AL1298" si="960">AK1281/$AK$1299</f>
        <v>0.22307011150107894</v>
      </c>
      <c r="AM1281" s="1827">
        <f t="shared" si="950"/>
        <v>5.4047044788505923E-2</v>
      </c>
      <c r="AN1281" s="1827">
        <f t="shared" si="951"/>
        <v>0.16346695226912536</v>
      </c>
      <c r="AO1281" s="13"/>
      <c r="AP1281" s="13"/>
    </row>
    <row r="1282" spans="1:42" ht="15.75">
      <c r="A1282" s="187"/>
      <c r="B1282" s="699" t="s">
        <v>483</v>
      </c>
      <c r="C1282" s="250">
        <v>26</v>
      </c>
      <c r="D1282" s="251">
        <v>245</v>
      </c>
      <c r="E1282" s="251">
        <v>10</v>
      </c>
      <c r="F1282" s="251">
        <v>40</v>
      </c>
      <c r="G1282" s="328">
        <v>296</v>
      </c>
      <c r="H1282" s="453">
        <f t="shared" si="952"/>
        <v>316.72000000000003</v>
      </c>
      <c r="I1282" s="453">
        <f t="shared" si="953"/>
        <v>174.196</v>
      </c>
      <c r="J1282" s="1045">
        <f t="shared" si="936"/>
        <v>162.79999999999998</v>
      </c>
      <c r="K1282" s="1094">
        <v>390</v>
      </c>
      <c r="L1282" s="322">
        <v>279</v>
      </c>
      <c r="M1282" s="335">
        <f t="shared" si="937"/>
        <v>1.1387755102040817</v>
      </c>
      <c r="N1282" s="765">
        <f t="shared" si="954"/>
        <v>195</v>
      </c>
      <c r="O1282" s="329">
        <f t="shared" si="938"/>
        <v>0.19778869778869801</v>
      </c>
      <c r="P1282" s="330">
        <f t="shared" si="955"/>
        <v>0.11942868952214747</v>
      </c>
      <c r="Q1282" s="336">
        <v>3.0969968051118211</v>
      </c>
      <c r="R1282" s="382">
        <f t="shared" si="939"/>
        <v>145.66105073482427</v>
      </c>
      <c r="S1282" s="918">
        <f t="shared" si="940"/>
        <v>0.10527610113744296</v>
      </c>
      <c r="T1282" s="696">
        <f t="shared" si="956"/>
        <v>0.16380944031536732</v>
      </c>
      <c r="U1282" s="1358">
        <v>2.524</v>
      </c>
      <c r="V1282" s="1359">
        <f t="shared" si="941"/>
        <v>3.3190599999999999</v>
      </c>
      <c r="W1282" s="1359">
        <f t="shared" si="942"/>
        <v>156.10534898</v>
      </c>
      <c r="X1282" s="1360">
        <f>(ROUND(W1282/(1-$AA$1278),0))</f>
        <v>193</v>
      </c>
      <c r="Y1282" s="1359">
        <f t="shared" si="943"/>
        <v>186.03</v>
      </c>
      <c r="Z1282" s="1360">
        <f t="shared" si="944"/>
        <v>351</v>
      </c>
      <c r="AA1282" s="1361">
        <f t="shared" si="945"/>
        <v>0.19116399492227978</v>
      </c>
      <c r="AB1282" s="1361">
        <f t="shared" si="946"/>
        <v>0.1608592754932</v>
      </c>
      <c r="AC1282" s="1696">
        <f t="shared" si="957"/>
        <v>4.8218029350104885E-2</v>
      </c>
      <c r="AD1282" s="1669">
        <f t="shared" si="958"/>
        <v>0.16610390502136746</v>
      </c>
      <c r="AE1282" s="261">
        <f t="shared" si="947"/>
        <v>4.1460251312907959</v>
      </c>
      <c r="AF1282" s="1359">
        <f>(V1282/(1-$AA$1278))</f>
        <v>4.0976049382716049</v>
      </c>
      <c r="AG1282" s="1896">
        <f>AF1282/(1-$X$1234)</f>
        <v>7.4501907968574628</v>
      </c>
      <c r="AH1282" s="1361">
        <f t="shared" si="948"/>
        <v>0.19</v>
      </c>
      <c r="AI1282" s="77">
        <f t="shared" si="959"/>
        <v>1.9384822356754112E-2</v>
      </c>
      <c r="AJ1282" s="333">
        <v>317</v>
      </c>
      <c r="AK1282" s="270">
        <f t="shared" si="949"/>
        <v>103.35460039410087</v>
      </c>
      <c r="AL1282" s="506">
        <f t="shared" si="960"/>
        <v>1.5126338652401365E-2</v>
      </c>
      <c r="AM1282" s="77">
        <f t="shared" si="950"/>
        <v>4.1105837806997073E-3</v>
      </c>
      <c r="AN1282" s="77">
        <f t="shared" si="951"/>
        <v>1.1084660611230117E-2</v>
      </c>
      <c r="AO1282" s="13"/>
      <c r="AP1282" s="13"/>
    </row>
    <row r="1283" spans="1:42" ht="15.75">
      <c r="A1283" s="187"/>
      <c r="B1283" s="699" t="s">
        <v>484</v>
      </c>
      <c r="C1283" s="250">
        <v>32</v>
      </c>
      <c r="D1283" s="251">
        <v>335</v>
      </c>
      <c r="E1283" s="251">
        <v>5</v>
      </c>
      <c r="F1283" s="699">
        <v>30</v>
      </c>
      <c r="G1283" s="328">
        <v>400</v>
      </c>
      <c r="H1283" s="453">
        <f t="shared" si="952"/>
        <v>428</v>
      </c>
      <c r="I1283" s="453">
        <f t="shared" si="953"/>
        <v>235.4</v>
      </c>
      <c r="J1283" s="1045">
        <f t="shared" si="936"/>
        <v>220</v>
      </c>
      <c r="K1283" s="1094">
        <v>541</v>
      </c>
      <c r="L1283" s="322">
        <v>446</v>
      </c>
      <c r="M1283" s="335">
        <f t="shared" si="937"/>
        <v>1.3313432835820895</v>
      </c>
      <c r="N1283" s="765">
        <f t="shared" si="954"/>
        <v>270.5</v>
      </c>
      <c r="O1283" s="329">
        <f t="shared" si="938"/>
        <v>0.2295454545454545</v>
      </c>
      <c r="P1283" s="330">
        <f t="shared" si="955"/>
        <v>0.14910790144434993</v>
      </c>
      <c r="Q1283" s="336">
        <v>4.5125464190981432</v>
      </c>
      <c r="R1283" s="382">
        <f t="shared" si="939"/>
        <v>212.23859572944298</v>
      </c>
      <c r="S1283" s="918">
        <f t="shared" si="940"/>
        <v>3.5279110320713743E-2</v>
      </c>
      <c r="T1283" s="696">
        <f t="shared" si="956"/>
        <v>9.8391691888517541E-2</v>
      </c>
      <c r="U1283" s="261">
        <v>3.4510000000000001</v>
      </c>
      <c r="V1283" s="1359">
        <f t="shared" si="941"/>
        <v>4.5380649999999996</v>
      </c>
      <c r="W1283" s="1359">
        <f t="shared" si="942"/>
        <v>213.43881114499999</v>
      </c>
      <c r="X1283" s="1360">
        <f>(ROUND(W1283/(1-$AA$1278),0))</f>
        <v>264</v>
      </c>
      <c r="Y1283" s="1359">
        <f t="shared" si="943"/>
        <v>254.4</v>
      </c>
      <c r="Z1283" s="1360">
        <f t="shared" si="944"/>
        <v>480</v>
      </c>
      <c r="AA1283" s="1361">
        <f t="shared" si="945"/>
        <v>0.19151965475378793</v>
      </c>
      <c r="AB1283" s="1361">
        <f t="shared" si="946"/>
        <v>0.16101096248034596</v>
      </c>
      <c r="AC1283" s="1696">
        <f t="shared" si="957"/>
        <v>6.3286163522012551E-2</v>
      </c>
      <c r="AD1283" s="1669">
        <f t="shared" si="958"/>
        <v>0.17806988930606907</v>
      </c>
      <c r="AE1283" s="261">
        <f t="shared" si="947"/>
        <v>5.7512810154572316</v>
      </c>
      <c r="AF1283" s="1359">
        <f>(V1283/(1-$AA$1278))</f>
        <v>5.6025493827160489</v>
      </c>
      <c r="AG1283" s="1896">
        <v>10.19</v>
      </c>
      <c r="AH1283" s="1361">
        <f t="shared" si="948"/>
        <v>0.19</v>
      </c>
      <c r="AI1283" s="77">
        <f t="shared" si="959"/>
        <v>1.9935180089280254E-2</v>
      </c>
      <c r="AJ1283" s="333">
        <v>326</v>
      </c>
      <c r="AK1283" s="270">
        <f t="shared" si="949"/>
        <v>51.898751080625878</v>
      </c>
      <c r="AL1283" s="506">
        <f t="shared" si="960"/>
        <v>7.5955795048193676E-3</v>
      </c>
      <c r="AM1283" s="77">
        <f t="shared" si="950"/>
        <v>4.2272880520760397E-3</v>
      </c>
      <c r="AN1283" s="77">
        <f t="shared" si="951"/>
        <v>5.5660806551605145E-3</v>
      </c>
      <c r="AO1283" s="13"/>
      <c r="AP1283" s="13"/>
    </row>
    <row r="1284" spans="1:42" ht="15.75">
      <c r="A1284" s="187"/>
      <c r="B1284" s="699" t="s">
        <v>485</v>
      </c>
      <c r="C1284" s="250" t="s">
        <v>411</v>
      </c>
      <c r="D1284" s="250">
        <v>138</v>
      </c>
      <c r="E1284" s="251">
        <v>10</v>
      </c>
      <c r="F1284" s="250">
        <v>50</v>
      </c>
      <c r="G1284" s="328">
        <v>210</v>
      </c>
      <c r="H1284" s="453">
        <f t="shared" si="952"/>
        <v>224.70000000000002</v>
      </c>
      <c r="I1284" s="453">
        <f t="shared" si="953"/>
        <v>123.58500000000001</v>
      </c>
      <c r="J1284" s="1045">
        <f t="shared" si="936"/>
        <v>115.5</v>
      </c>
      <c r="K1284" s="1094">
        <v>277</v>
      </c>
      <c r="L1284" s="322">
        <v>140</v>
      </c>
      <c r="M1284" s="335">
        <f t="shared" si="937"/>
        <v>1.0144927536231885</v>
      </c>
      <c r="N1284" s="765">
        <f t="shared" si="954"/>
        <v>138.5</v>
      </c>
      <c r="O1284" s="329">
        <f t="shared" si="938"/>
        <v>0.19913419913419905</v>
      </c>
      <c r="P1284" s="330">
        <f t="shared" si="955"/>
        <v>0.12068616741513938</v>
      </c>
      <c r="Q1284" s="336">
        <v>1.81</v>
      </c>
      <c r="R1284" s="382">
        <f t="shared" si="939"/>
        <v>85.129730000000009</v>
      </c>
      <c r="S1284" s="918">
        <f t="shared" si="940"/>
        <v>0.26294606060606052</v>
      </c>
      <c r="T1284" s="696">
        <f t="shared" si="956"/>
        <v>0.3111645426224865</v>
      </c>
      <c r="U1284" s="261">
        <v>1.4219999999999999</v>
      </c>
      <c r="V1284" s="1359">
        <f t="shared" si="941"/>
        <v>1.8699299999999999</v>
      </c>
      <c r="W1284" s="1359">
        <f t="shared" si="942"/>
        <v>87.948417689999999</v>
      </c>
      <c r="X1284" s="1360">
        <f>(ROUND(W1284/(1-$AC$1278),0))</f>
        <v>122</v>
      </c>
      <c r="Y1284" s="1359">
        <f t="shared" si="943"/>
        <v>117.66000000000001</v>
      </c>
      <c r="Z1284" s="1360">
        <f t="shared" si="944"/>
        <v>222</v>
      </c>
      <c r="AA1284" s="1361">
        <f t="shared" si="945"/>
        <v>0.27911133040983604</v>
      </c>
      <c r="AB1284" s="1361">
        <f t="shared" si="946"/>
        <v>0.25252067236104037</v>
      </c>
      <c r="AC1284" s="1696">
        <f t="shared" si="957"/>
        <v>0.17712051674315821</v>
      </c>
      <c r="AD1284" s="1669">
        <f t="shared" si="958"/>
        <v>0.33853476466606502</v>
      </c>
      <c r="AE1284" s="261">
        <f t="shared" si="947"/>
        <v>2.9447409265834628</v>
      </c>
      <c r="AF1284" s="1359">
        <f>(V1284/(1-$AC$1278))</f>
        <v>2.5971250000000001</v>
      </c>
      <c r="AG1284" s="1896">
        <v>4.72</v>
      </c>
      <c r="AH1284" s="1361">
        <f t="shared" si="948"/>
        <v>0.28000000000000008</v>
      </c>
      <c r="AI1284" s="77">
        <f t="shared" si="959"/>
        <v>5.9927841986179902E-3</v>
      </c>
      <c r="AJ1284" s="333">
        <v>98</v>
      </c>
      <c r="AK1284" s="270">
        <f t="shared" si="949"/>
        <v>46.64137223030302</v>
      </c>
      <c r="AL1284" s="506">
        <f t="shared" si="960"/>
        <v>6.8261421250537828E-3</v>
      </c>
      <c r="AM1284" s="77">
        <f t="shared" si="950"/>
        <v>1.2707798438756192E-3</v>
      </c>
      <c r="AN1284" s="77">
        <f t="shared" si="951"/>
        <v>5.0022328918459145E-3</v>
      </c>
      <c r="AO1284" s="13"/>
      <c r="AP1284" s="13"/>
    </row>
    <row r="1285" spans="1:42" ht="15.75">
      <c r="A1285" s="187"/>
      <c r="B1285" s="699" t="s">
        <v>486</v>
      </c>
      <c r="C1285" s="250" t="s">
        <v>412</v>
      </c>
      <c r="D1285" s="250">
        <v>202</v>
      </c>
      <c r="E1285" s="251">
        <v>5</v>
      </c>
      <c r="F1285" s="250">
        <v>40</v>
      </c>
      <c r="G1285" s="328">
        <v>308</v>
      </c>
      <c r="H1285" s="453">
        <f t="shared" si="952"/>
        <v>329.56</v>
      </c>
      <c r="I1285" s="453">
        <f t="shared" si="953"/>
        <v>181.25800000000001</v>
      </c>
      <c r="J1285" s="1045">
        <f t="shared" si="936"/>
        <v>169.4</v>
      </c>
      <c r="K1285" s="1094">
        <v>408</v>
      </c>
      <c r="L1285" s="322">
        <v>225</v>
      </c>
      <c r="M1285" s="335">
        <f t="shared" si="937"/>
        <v>1.113861386138614</v>
      </c>
      <c r="N1285" s="765">
        <f t="shared" si="954"/>
        <v>204</v>
      </c>
      <c r="O1285" s="329">
        <f t="shared" si="938"/>
        <v>0.20425029515938609</v>
      </c>
      <c r="P1285" s="330">
        <f t="shared" si="955"/>
        <v>0.12546756556951966</v>
      </c>
      <c r="Q1285" s="336">
        <v>2.88</v>
      </c>
      <c r="R1285" s="382">
        <f t="shared" si="939"/>
        <v>135.45504</v>
      </c>
      <c r="S1285" s="918">
        <f t="shared" si="940"/>
        <v>0.2003834710743802</v>
      </c>
      <c r="T1285" s="696">
        <f t="shared" si="956"/>
        <v>0.2526948327797946</v>
      </c>
      <c r="U1285" s="261">
        <v>2.081</v>
      </c>
      <c r="V1285" s="1359">
        <f t="shared" si="941"/>
        <v>2.7365149999999998</v>
      </c>
      <c r="W1285" s="1359">
        <f t="shared" si="942"/>
        <v>128.706509995</v>
      </c>
      <c r="X1285" s="1360">
        <f t="shared" ref="X1285:X1298" si="961">(ROUND(W1285/(1-$AC$1278),0))</f>
        <v>179</v>
      </c>
      <c r="Y1285" s="1359">
        <f t="shared" si="943"/>
        <v>172.25</v>
      </c>
      <c r="Z1285" s="1360">
        <f t="shared" si="944"/>
        <v>325</v>
      </c>
      <c r="AA1285" s="1361">
        <f t="shared" si="945"/>
        <v>0.28096921790502788</v>
      </c>
      <c r="AB1285" s="1361">
        <f t="shared" si="946"/>
        <v>0.25279239480406385</v>
      </c>
      <c r="AC1285" s="1696">
        <f t="shared" si="957"/>
        <v>0.1843251088534108</v>
      </c>
      <c r="AD1285" s="1669">
        <f t="shared" si="958"/>
        <v>0.34279764095690357</v>
      </c>
      <c r="AE1285" s="261">
        <f t="shared" si="947"/>
        <v>4.3373801373503706</v>
      </c>
      <c r="AF1285" s="1359">
        <f t="shared" ref="AF1285:AF1298" si="962">(V1285/(1-$AC$1278))</f>
        <v>3.8007152777777775</v>
      </c>
      <c r="AG1285" s="1896">
        <f>AF1285/(1-$X$1234)</f>
        <v>6.9103914141414133</v>
      </c>
      <c r="AH1285" s="1361">
        <f t="shared" si="948"/>
        <v>0.28000000000000003</v>
      </c>
      <c r="AI1285" s="77">
        <f t="shared" si="959"/>
        <v>2.843514951385067E-2</v>
      </c>
      <c r="AJ1285" s="333">
        <v>465</v>
      </c>
      <c r="AK1285" s="270">
        <f t="shared" si="949"/>
        <v>268.35354446280996</v>
      </c>
      <c r="AL1285" s="506">
        <f t="shared" si="960"/>
        <v>3.9274561331944312E-2</v>
      </c>
      <c r="AM1285" s="77">
        <f t="shared" si="950"/>
        <v>6.0297206877771726E-3</v>
      </c>
      <c r="AN1285" s="77">
        <f t="shared" si="951"/>
        <v>2.8780605341691981E-2</v>
      </c>
      <c r="AO1285" s="13"/>
      <c r="AP1285" s="13"/>
    </row>
    <row r="1286" spans="1:42" ht="15.75">
      <c r="A1286" s="187"/>
      <c r="B1286" s="699" t="s">
        <v>487</v>
      </c>
      <c r="C1286" s="250" t="s">
        <v>414</v>
      </c>
      <c r="D1286" s="250">
        <v>213</v>
      </c>
      <c r="E1286" s="251">
        <v>5</v>
      </c>
      <c r="F1286" s="250">
        <v>40</v>
      </c>
      <c r="G1286" s="328">
        <v>296</v>
      </c>
      <c r="H1286" s="453">
        <f t="shared" si="952"/>
        <v>316.72000000000003</v>
      </c>
      <c r="I1286" s="453">
        <f t="shared" si="953"/>
        <v>174.196</v>
      </c>
      <c r="J1286" s="1045">
        <f t="shared" ref="J1286:J1298" si="963">G1286-G1286*$J$1279</f>
        <v>162.79999999999998</v>
      </c>
      <c r="K1286" s="1094">
        <v>391</v>
      </c>
      <c r="L1286" s="322">
        <v>231</v>
      </c>
      <c r="M1286" s="335">
        <f t="shared" si="937"/>
        <v>1.0845070422535212</v>
      </c>
      <c r="N1286" s="765">
        <f t="shared" si="954"/>
        <v>195.5</v>
      </c>
      <c r="O1286" s="329">
        <f t="shared" si="938"/>
        <v>0.2008599508599509</v>
      </c>
      <c r="P1286" s="330">
        <f t="shared" si="955"/>
        <v>0.1222990194952811</v>
      </c>
      <c r="Q1286" s="336">
        <v>2.98</v>
      </c>
      <c r="R1286" s="382">
        <f t="shared" si="939"/>
        <v>140.15834000000001</v>
      </c>
      <c r="S1286" s="918">
        <f t="shared" si="940"/>
        <v>0.13907653562653546</v>
      </c>
      <c r="T1286" s="696">
        <f t="shared" si="956"/>
        <v>0.19539863142666875</v>
      </c>
      <c r="U1286" s="261">
        <v>2.194</v>
      </c>
      <c r="V1286" s="1359">
        <f t="shared" si="941"/>
        <v>2.8851099999999996</v>
      </c>
      <c r="W1286" s="1359">
        <f t="shared" si="942"/>
        <v>135.69537862999999</v>
      </c>
      <c r="X1286" s="1360">
        <f>(ROUND(W1286/(1-$AB$1278),0))</f>
        <v>179</v>
      </c>
      <c r="Y1286" s="1359">
        <f t="shared" si="943"/>
        <v>172.25</v>
      </c>
      <c r="Z1286" s="1360">
        <f t="shared" si="944"/>
        <v>325</v>
      </c>
      <c r="AA1286" s="1361">
        <f t="shared" si="945"/>
        <v>0.24192525905027937</v>
      </c>
      <c r="AB1286" s="1361">
        <f t="shared" si="946"/>
        <v>0.21221841143686507</v>
      </c>
      <c r="AC1286" s="1696">
        <f t="shared" si="957"/>
        <v>0.13497822931785186</v>
      </c>
      <c r="AD1286" s="1669">
        <f t="shared" si="958"/>
        <v>0.27698540798167098</v>
      </c>
      <c r="AE1286" s="261">
        <f t="shared" si="947"/>
        <v>4.1566559649607724</v>
      </c>
      <c r="AF1286" s="1359">
        <f>(V1286/(1-$AB$1278))</f>
        <v>3.7961973684210522</v>
      </c>
      <c r="AG1286" s="1896">
        <v>6.9</v>
      </c>
      <c r="AH1286" s="1361">
        <f t="shared" si="948"/>
        <v>0.24</v>
      </c>
      <c r="AI1286" s="77">
        <f t="shared" si="959"/>
        <v>0.15728000978413748</v>
      </c>
      <c r="AJ1286" s="333">
        <v>2572</v>
      </c>
      <c r="AK1286" s="270">
        <f t="shared" si="949"/>
        <v>1065.9604519017187</v>
      </c>
      <c r="AL1286" s="506">
        <f t="shared" si="960"/>
        <v>0.15600736420100852</v>
      </c>
      <c r="AM1286" s="77">
        <f t="shared" si="950"/>
        <v>3.3351487331102984E-2</v>
      </c>
      <c r="AN1286" s="77">
        <f t="shared" si="951"/>
        <v>0.11432301793310831</v>
      </c>
      <c r="AO1286" s="13"/>
      <c r="AP1286" s="13"/>
    </row>
    <row r="1287" spans="1:42" ht="15.75">
      <c r="A1287" s="271"/>
      <c r="B1287" s="699" t="s">
        <v>488</v>
      </c>
      <c r="C1287" s="250" t="s">
        <v>418</v>
      </c>
      <c r="D1287" s="250">
        <v>272</v>
      </c>
      <c r="E1287" s="251">
        <v>5</v>
      </c>
      <c r="F1287" s="250">
        <v>30</v>
      </c>
      <c r="G1287" s="328">
        <v>466</v>
      </c>
      <c r="H1287" s="453">
        <f t="shared" si="952"/>
        <v>498.62</v>
      </c>
      <c r="I1287" s="453">
        <f t="shared" si="953"/>
        <v>274.24099999999999</v>
      </c>
      <c r="J1287" s="1045">
        <f t="shared" si="963"/>
        <v>256.29999999999995</v>
      </c>
      <c r="K1287" s="1094">
        <v>616</v>
      </c>
      <c r="L1287" s="322">
        <v>430</v>
      </c>
      <c r="M1287" s="335">
        <f t="shared" si="937"/>
        <v>1.5808823529411764</v>
      </c>
      <c r="N1287" s="765">
        <f t="shared" si="954"/>
        <v>308</v>
      </c>
      <c r="O1287" s="329">
        <f t="shared" si="938"/>
        <v>0.20171673819742519</v>
      </c>
      <c r="P1287" s="330">
        <f t="shared" si="955"/>
        <v>0.12309975532469619</v>
      </c>
      <c r="Q1287" s="336">
        <v>3.98</v>
      </c>
      <c r="R1287" s="382">
        <f t="shared" si="939"/>
        <v>187.19134</v>
      </c>
      <c r="S1287" s="918">
        <f t="shared" si="940"/>
        <v>0.26963971907920392</v>
      </c>
      <c r="T1287" s="696">
        <f t="shared" si="956"/>
        <v>0.31742029820486356</v>
      </c>
      <c r="U1287" s="1358">
        <v>2.802</v>
      </c>
      <c r="V1287" s="1359">
        <f t="shared" si="941"/>
        <v>3.6846299999999998</v>
      </c>
      <c r="W1287" s="1359">
        <f t="shared" si="942"/>
        <v>173.29920279000001</v>
      </c>
      <c r="X1287" s="1360">
        <f t="shared" si="961"/>
        <v>241</v>
      </c>
      <c r="Y1287" s="1359">
        <f t="shared" si="943"/>
        <v>232.14000000000001</v>
      </c>
      <c r="Z1287" s="1360">
        <f t="shared" si="944"/>
        <v>438</v>
      </c>
      <c r="AA1287" s="1361">
        <f t="shared" si="945"/>
        <v>0.28091617099585059</v>
      </c>
      <c r="AB1287" s="1361">
        <f t="shared" si="946"/>
        <v>0.25347116916515894</v>
      </c>
      <c r="AC1287" s="1696">
        <f t="shared" si="957"/>
        <v>0.32678556043766682</v>
      </c>
      <c r="AD1287" s="1669">
        <f t="shared" si="958"/>
        <v>0.41389609446022724</v>
      </c>
      <c r="AE1287" s="261">
        <f t="shared" si="947"/>
        <v>6.5485935407054621</v>
      </c>
      <c r="AF1287" s="1359">
        <f t="shared" si="962"/>
        <v>5.1175416666666669</v>
      </c>
      <c r="AG1287" s="1896">
        <v>9.31</v>
      </c>
      <c r="AH1287" s="1361">
        <f t="shared" si="948"/>
        <v>0.28000000000000008</v>
      </c>
      <c r="AI1287" s="77">
        <f t="shared" si="959"/>
        <v>1.8222956032532257E-2</v>
      </c>
      <c r="AJ1287" s="333">
        <v>298</v>
      </c>
      <c r="AK1287" s="270">
        <f t="shared" si="949"/>
        <v>319.80349241669899</v>
      </c>
      <c r="AL1287" s="506">
        <f t="shared" si="960"/>
        <v>4.6804456793117906E-2</v>
      </c>
      <c r="AM1287" s="77">
        <f t="shared" si="950"/>
        <v>3.8642080966830054E-3</v>
      </c>
      <c r="AN1287" s="77">
        <f t="shared" si="951"/>
        <v>3.4298552383813817E-2</v>
      </c>
      <c r="AO1287" s="13"/>
      <c r="AP1287" s="13"/>
    </row>
    <row r="1288" spans="1:42" ht="15.75">
      <c r="A1288" s="187"/>
      <c r="B1288" s="699" t="s">
        <v>489</v>
      </c>
      <c r="C1288" s="250" t="s">
        <v>420</v>
      </c>
      <c r="D1288" s="250">
        <v>310</v>
      </c>
      <c r="E1288" s="251">
        <v>5</v>
      </c>
      <c r="F1288" s="250">
        <v>30</v>
      </c>
      <c r="G1288" s="328">
        <v>490</v>
      </c>
      <c r="H1288" s="453">
        <f t="shared" si="952"/>
        <v>524.30000000000007</v>
      </c>
      <c r="I1288" s="453">
        <f t="shared" si="953"/>
        <v>288.36500000000001</v>
      </c>
      <c r="J1288" s="1045">
        <f t="shared" si="963"/>
        <v>269.5</v>
      </c>
      <c r="K1288" s="1094">
        <v>648</v>
      </c>
      <c r="L1288" s="322">
        <v>447</v>
      </c>
      <c r="M1288" s="335">
        <f t="shared" si="937"/>
        <v>1.4419354838709677</v>
      </c>
      <c r="N1288" s="765">
        <f t="shared" si="954"/>
        <v>324</v>
      </c>
      <c r="O1288" s="329">
        <f t="shared" si="938"/>
        <v>0.20222634508348802</v>
      </c>
      <c r="P1288" s="330">
        <f t="shared" si="955"/>
        <v>0.12357602344251206</v>
      </c>
      <c r="Q1288" s="336">
        <v>4.17</v>
      </c>
      <c r="R1288" s="382">
        <f t="shared" si="939"/>
        <v>196.12761</v>
      </c>
      <c r="S1288" s="918">
        <f t="shared" si="940"/>
        <v>0.27225376623376624</v>
      </c>
      <c r="T1288" s="696">
        <f t="shared" si="956"/>
        <v>0.31986333292875352</v>
      </c>
      <c r="U1288" s="1358">
        <v>3.1930000000000001</v>
      </c>
      <c r="V1288" s="1359">
        <f t="shared" si="941"/>
        <v>4.1987949999999996</v>
      </c>
      <c r="W1288" s="1359">
        <f t="shared" si="942"/>
        <v>197.48192523499998</v>
      </c>
      <c r="X1288" s="1360">
        <f t="shared" si="961"/>
        <v>274</v>
      </c>
      <c r="Y1288" s="1359">
        <f t="shared" si="943"/>
        <v>263.94</v>
      </c>
      <c r="Z1288" s="1360">
        <f t="shared" si="944"/>
        <v>498</v>
      </c>
      <c r="AA1288" s="1361">
        <f t="shared" si="945"/>
        <v>0.27926304658759132</v>
      </c>
      <c r="AB1288" s="1361">
        <f t="shared" si="946"/>
        <v>0.25179235722133825</v>
      </c>
      <c r="AC1288" s="1696">
        <f t="shared" si="957"/>
        <v>0.22755171629915893</v>
      </c>
      <c r="AD1288" s="1669">
        <f t="shared" si="958"/>
        <v>0.36509154695537549</v>
      </c>
      <c r="AE1288" s="261">
        <f t="shared" si="947"/>
        <v>6.8887802181447064</v>
      </c>
      <c r="AF1288" s="1359">
        <f t="shared" si="962"/>
        <v>5.8316597222222217</v>
      </c>
      <c r="AG1288" s="1896">
        <v>10.6</v>
      </c>
      <c r="AH1288" s="1361">
        <f t="shared" si="948"/>
        <v>0.28000000000000003</v>
      </c>
      <c r="AI1288" s="77">
        <f t="shared" si="959"/>
        <v>9.5273038586192141E-2</v>
      </c>
      <c r="AJ1288" s="333">
        <v>1558</v>
      </c>
      <c r="AK1288" s="270">
        <f t="shared" si="949"/>
        <v>1768.7946036935066</v>
      </c>
      <c r="AL1288" s="506">
        <f t="shared" si="960"/>
        <v>0.25886981401879766</v>
      </c>
      <c r="AM1288" s="77">
        <f t="shared" si="950"/>
        <v>2.0202806089369536E-2</v>
      </c>
      <c r="AN1288" s="77">
        <f t="shared" si="951"/>
        <v>0.1897011627751102</v>
      </c>
      <c r="AO1288" s="13"/>
      <c r="AP1288" s="13"/>
    </row>
    <row r="1289" spans="1:42" ht="15.75">
      <c r="A1289" s="187"/>
      <c r="B1289" s="699" t="s">
        <v>490</v>
      </c>
      <c r="C1289" s="250" t="s">
        <v>422</v>
      </c>
      <c r="D1289" s="250">
        <v>123</v>
      </c>
      <c r="E1289" s="251">
        <v>10</v>
      </c>
      <c r="F1289" s="250">
        <v>80</v>
      </c>
      <c r="G1289" s="328">
        <v>202</v>
      </c>
      <c r="H1289" s="453">
        <f t="shared" si="952"/>
        <v>216.14000000000001</v>
      </c>
      <c r="I1289" s="453">
        <f t="shared" si="953"/>
        <v>118.87700000000001</v>
      </c>
      <c r="J1289" s="1045">
        <f t="shared" si="963"/>
        <v>111.1</v>
      </c>
      <c r="K1289" s="1094">
        <v>272</v>
      </c>
      <c r="L1289" s="322">
        <v>186</v>
      </c>
      <c r="M1289" s="335">
        <f t="shared" si="937"/>
        <v>1.5121951219512195</v>
      </c>
      <c r="N1289" s="765">
        <f t="shared" si="954"/>
        <v>136</v>
      </c>
      <c r="O1289" s="329">
        <f t="shared" si="938"/>
        <v>0.2241224122412242</v>
      </c>
      <c r="P1289" s="330">
        <f t="shared" si="955"/>
        <v>0.1440396376086206</v>
      </c>
      <c r="Q1289" s="336">
        <v>1.82</v>
      </c>
      <c r="R1289" s="382">
        <f t="shared" si="939"/>
        <v>85.600059999999999</v>
      </c>
      <c r="S1289" s="918">
        <f t="shared" si="940"/>
        <v>0.22952241224122408</v>
      </c>
      <c r="T1289" s="696">
        <f t="shared" si="956"/>
        <v>0.27992748807591045</v>
      </c>
      <c r="U1289" s="1358">
        <v>1.2669999999999999</v>
      </c>
      <c r="V1289" s="1359">
        <f t="shared" si="941"/>
        <v>1.6661049999999997</v>
      </c>
      <c r="W1289" s="1359">
        <f t="shared" si="942"/>
        <v>78.361916464999993</v>
      </c>
      <c r="X1289" s="1360">
        <f t="shared" si="961"/>
        <v>109</v>
      </c>
      <c r="Y1289" s="1359">
        <f t="shared" si="943"/>
        <v>104.94000000000001</v>
      </c>
      <c r="Z1289" s="1360">
        <f t="shared" si="944"/>
        <v>198</v>
      </c>
      <c r="AA1289" s="1361">
        <f t="shared" si="945"/>
        <v>0.28108333518348633</v>
      </c>
      <c r="AB1289" s="1361">
        <f t="shared" si="946"/>
        <v>0.25326933042691074</v>
      </c>
      <c r="AC1289" s="1696">
        <f t="shared" si="957"/>
        <v>0.29597865446922045</v>
      </c>
      <c r="AD1289" s="1669">
        <f t="shared" si="958"/>
        <v>0.39980149766390938</v>
      </c>
      <c r="AE1289" s="261">
        <f t="shared" si="947"/>
        <v>2.8915867582335806</v>
      </c>
      <c r="AF1289" s="1359">
        <f t="shared" si="962"/>
        <v>2.314034722222222</v>
      </c>
      <c r="AG1289" s="1896">
        <v>4.21</v>
      </c>
      <c r="AH1289" s="1361">
        <f t="shared" si="948"/>
        <v>0.28000000000000003</v>
      </c>
      <c r="AI1289" s="77">
        <f t="shared" si="959"/>
        <v>1.8895615483397542E-2</v>
      </c>
      <c r="AJ1289" s="333">
        <v>309</v>
      </c>
      <c r="AK1289" s="270">
        <f t="shared" si="949"/>
        <v>129.07881419621958</v>
      </c>
      <c r="AL1289" s="506">
        <f t="shared" si="960"/>
        <v>1.8891175128512731E-2</v>
      </c>
      <c r="AM1289" s="77">
        <f t="shared" si="950"/>
        <v>4.0068466505874117E-3</v>
      </c>
      <c r="AN1289" s="77">
        <f t="shared" si="951"/>
        <v>1.3843552604425637E-2</v>
      </c>
      <c r="AO1289" s="13"/>
      <c r="AP1289" s="13"/>
    </row>
    <row r="1290" spans="1:42" ht="15.75">
      <c r="A1290" s="187"/>
      <c r="B1290" s="699" t="s">
        <v>491</v>
      </c>
      <c r="C1290" s="250" t="s">
        <v>492</v>
      </c>
      <c r="D1290" s="250">
        <v>178</v>
      </c>
      <c r="E1290" s="251">
        <v>5</v>
      </c>
      <c r="F1290" s="250">
        <v>50</v>
      </c>
      <c r="G1290" s="328">
        <v>282</v>
      </c>
      <c r="H1290" s="453">
        <f t="shared" si="952"/>
        <v>301.74</v>
      </c>
      <c r="I1290" s="453">
        <f t="shared" si="953"/>
        <v>165.95699999999999</v>
      </c>
      <c r="J1290" s="1045">
        <f t="shared" si="963"/>
        <v>155.1</v>
      </c>
      <c r="K1290" s="1094">
        <v>324</v>
      </c>
      <c r="L1290" s="322">
        <v>258</v>
      </c>
      <c r="M1290" s="335">
        <f t="shared" si="937"/>
        <v>1.449438202247191</v>
      </c>
      <c r="N1290" s="765">
        <f t="shared" si="954"/>
        <v>162</v>
      </c>
      <c r="O1290" s="1631">
        <f t="shared" si="938"/>
        <v>4.4487427466150864E-2</v>
      </c>
      <c r="P1290" s="1132">
        <f t="shared" si="955"/>
        <v>-2.3843525732569204E-2</v>
      </c>
      <c r="Q1290" s="336">
        <v>2.39</v>
      </c>
      <c r="R1290" s="382">
        <f t="shared" si="939"/>
        <v>112.40887000000001</v>
      </c>
      <c r="S1290" s="918">
        <f t="shared" si="940"/>
        <v>0.27524906511927782</v>
      </c>
      <c r="T1290" s="696">
        <f t="shared" si="956"/>
        <v>0.32266267768156803</v>
      </c>
      <c r="U1290" s="1358">
        <v>1.8340000000000001</v>
      </c>
      <c r="V1290" s="1359">
        <f t="shared" si="941"/>
        <v>2.4117099999999998</v>
      </c>
      <c r="W1290" s="1359">
        <f t="shared" si="942"/>
        <v>113.42995642999999</v>
      </c>
      <c r="X1290" s="1360">
        <f>(ROUND(W1290/(1-$AB$1278),0))</f>
        <v>149</v>
      </c>
      <c r="Y1290" s="1359">
        <f t="shared" si="943"/>
        <v>143.63</v>
      </c>
      <c r="Z1290" s="1360">
        <f t="shared" si="944"/>
        <v>271</v>
      </c>
      <c r="AA1290" s="1361">
        <f t="shared" si="945"/>
        <v>0.23872512463087256</v>
      </c>
      <c r="AB1290" s="1361">
        <f t="shared" si="946"/>
        <v>0.21026278333217299</v>
      </c>
      <c r="AC1290" s="1696">
        <f t="shared" si="957"/>
        <v>0.12789807143354448</v>
      </c>
      <c r="AD1290" s="1669">
        <f t="shared" si="958"/>
        <v>0.27064071225565839</v>
      </c>
      <c r="AE1290" s="261">
        <f t="shared" si="947"/>
        <v>3.4443901090723532</v>
      </c>
      <c r="AF1290" s="1359">
        <f>(V1290/(1-$AB$1278))</f>
        <v>3.173302631578947</v>
      </c>
      <c r="AG1290" s="1896">
        <f>AF1290/(1-$X$1234)</f>
        <v>5.7696411483253573</v>
      </c>
      <c r="AH1290" s="1361">
        <f t="shared" si="948"/>
        <v>0.23999999999999996</v>
      </c>
      <c r="AI1290" s="77">
        <f t="shared" si="959"/>
        <v>6.7877453678224179E-3</v>
      </c>
      <c r="AJ1290" s="333">
        <v>111</v>
      </c>
      <c r="AK1290" s="270">
        <f t="shared" si="949"/>
        <v>73.020824485493222</v>
      </c>
      <c r="AL1290" s="506">
        <f t="shared" si="960"/>
        <v>1.0686875239548364E-2</v>
      </c>
      <c r="AM1290" s="77">
        <f t="shared" si="950"/>
        <v>1.4393526803080992E-3</v>
      </c>
      <c r="AN1290" s="77">
        <f t="shared" si="951"/>
        <v>7.831398446586155E-3</v>
      </c>
      <c r="AO1290" s="13"/>
      <c r="AP1290" s="13"/>
    </row>
    <row r="1291" spans="1:42" ht="15.75">
      <c r="A1291" s="187"/>
      <c r="B1291" s="699" t="s">
        <v>493</v>
      </c>
      <c r="C1291" s="250" t="s">
        <v>494</v>
      </c>
      <c r="D1291" s="250">
        <v>274</v>
      </c>
      <c r="E1291" s="251">
        <v>5</v>
      </c>
      <c r="F1291" s="250">
        <v>40</v>
      </c>
      <c r="G1291" s="328">
        <v>460</v>
      </c>
      <c r="H1291" s="453">
        <f t="shared" si="952"/>
        <v>492.20000000000005</v>
      </c>
      <c r="I1291" s="453">
        <f t="shared" si="953"/>
        <v>270.71000000000004</v>
      </c>
      <c r="J1291" s="1045">
        <f t="shared" si="963"/>
        <v>253</v>
      </c>
      <c r="K1291" s="1094">
        <v>607</v>
      </c>
      <c r="L1291" s="322">
        <v>432</v>
      </c>
      <c r="M1291" s="335">
        <f t="shared" si="937"/>
        <v>1.5766423357664234</v>
      </c>
      <c r="N1291" s="765">
        <f t="shared" si="954"/>
        <v>303.5</v>
      </c>
      <c r="O1291" s="329">
        <f t="shared" si="938"/>
        <v>0.19960474308300391</v>
      </c>
      <c r="P1291" s="330">
        <f t="shared" si="955"/>
        <v>0.12112592811495682</v>
      </c>
      <c r="Q1291" s="336">
        <v>3.69</v>
      </c>
      <c r="R1291" s="382">
        <f t="shared" si="939"/>
        <v>173.55177</v>
      </c>
      <c r="S1291" s="918">
        <f t="shared" si="940"/>
        <v>0.31402462450592883</v>
      </c>
      <c r="T1291" s="696">
        <f t="shared" si="956"/>
        <v>0.35890151822984012</v>
      </c>
      <c r="U1291" s="261">
        <v>2.823</v>
      </c>
      <c r="V1291" s="1359">
        <f t="shared" si="941"/>
        <v>3.7122449999999998</v>
      </c>
      <c r="W1291" s="1359">
        <f t="shared" si="942"/>
        <v>174.598019085</v>
      </c>
      <c r="X1291" s="1360">
        <f t="shared" si="961"/>
        <v>242</v>
      </c>
      <c r="Y1291" s="1359">
        <f t="shared" si="943"/>
        <v>233.20000000000002</v>
      </c>
      <c r="Z1291" s="1360">
        <f t="shared" si="944"/>
        <v>440</v>
      </c>
      <c r="AA1291" s="1361">
        <f t="shared" si="945"/>
        <v>0.27852058229338839</v>
      </c>
      <c r="AB1291" s="1361">
        <f t="shared" si="946"/>
        <v>0.25129494388936541</v>
      </c>
      <c r="AC1291" s="1696">
        <f t="shared" si="957"/>
        <v>0.30145797598627788</v>
      </c>
      <c r="AD1291" s="1669">
        <f t="shared" si="958"/>
        <v>0.40074814976317957</v>
      </c>
      <c r="AE1291" s="261">
        <f t="shared" si="947"/>
        <v>6.4529160376756742</v>
      </c>
      <c r="AF1291" s="1359">
        <f t="shared" si="962"/>
        <v>5.1558958333333331</v>
      </c>
      <c r="AG1291" s="1896">
        <v>9.3699999999999992</v>
      </c>
      <c r="AH1291" s="1361">
        <f t="shared" si="948"/>
        <v>0.28000000000000003</v>
      </c>
      <c r="AI1291" s="77">
        <f t="shared" si="959"/>
        <v>1.6510731975784259E-3</v>
      </c>
      <c r="AJ1291" s="333">
        <v>27</v>
      </c>
      <c r="AK1291" s="270">
        <f t="shared" si="949"/>
        <v>31.286273339525689</v>
      </c>
      <c r="AL1291" s="506">
        <f t="shared" si="960"/>
        <v>4.5788650326229032E-3</v>
      </c>
      <c r="AM1291" s="77">
        <f t="shared" si="950"/>
        <v>3.501128141289971E-4</v>
      </c>
      <c r="AN1291" s="77">
        <f t="shared" si="951"/>
        <v>3.3554164056214895E-3</v>
      </c>
      <c r="AO1291" s="13"/>
      <c r="AP1291" s="13"/>
    </row>
    <row r="1292" spans="1:42" ht="15.75">
      <c r="A1292" s="187"/>
      <c r="B1292" s="699" t="s">
        <v>495</v>
      </c>
      <c r="C1292" s="250" t="s">
        <v>424</v>
      </c>
      <c r="D1292" s="250">
        <v>125</v>
      </c>
      <c r="E1292" s="251">
        <v>10</v>
      </c>
      <c r="F1292" s="250">
        <v>80</v>
      </c>
      <c r="G1292" s="328">
        <v>206</v>
      </c>
      <c r="H1292" s="453">
        <f t="shared" si="952"/>
        <v>220.42000000000002</v>
      </c>
      <c r="I1292" s="453">
        <f t="shared" si="953"/>
        <v>121.23100000000001</v>
      </c>
      <c r="J1292" s="1045">
        <f t="shared" si="963"/>
        <v>113.3</v>
      </c>
      <c r="K1292" s="1094">
        <v>273</v>
      </c>
      <c r="L1292" s="322">
        <v>130</v>
      </c>
      <c r="M1292" s="335">
        <f t="shared" si="937"/>
        <v>1.04</v>
      </c>
      <c r="N1292" s="765">
        <f t="shared" si="954"/>
        <v>136.5</v>
      </c>
      <c r="O1292" s="329">
        <f t="shared" si="938"/>
        <v>0.20476610767872905</v>
      </c>
      <c r="P1292" s="330">
        <f t="shared" si="955"/>
        <v>0.1259496333446064</v>
      </c>
      <c r="Q1292" s="336">
        <v>1.79</v>
      </c>
      <c r="R1292" s="382">
        <f t="shared" si="939"/>
        <v>84.189070000000001</v>
      </c>
      <c r="S1292" s="918">
        <f t="shared" si="940"/>
        <v>0.25693671668137685</v>
      </c>
      <c r="T1292" s="696">
        <f t="shared" si="956"/>
        <v>0.30554833334708126</v>
      </c>
      <c r="U1292" s="261">
        <v>1.52</v>
      </c>
      <c r="V1292" s="1359">
        <f t="shared" si="941"/>
        <v>1.9987999999999999</v>
      </c>
      <c r="W1292" s="1359">
        <f t="shared" si="942"/>
        <v>94.009560399999998</v>
      </c>
      <c r="X1292" s="1360">
        <f t="shared" si="961"/>
        <v>131</v>
      </c>
      <c r="Y1292" s="1359">
        <f t="shared" si="943"/>
        <v>126.14</v>
      </c>
      <c r="Z1292" s="1360">
        <f t="shared" si="944"/>
        <v>238</v>
      </c>
      <c r="AA1292" s="1361">
        <f t="shared" si="945"/>
        <v>0.28236976793893132</v>
      </c>
      <c r="AB1292" s="1361">
        <f t="shared" si="946"/>
        <v>0.25472046614872368</v>
      </c>
      <c r="AC1292" s="1696">
        <f t="shared" si="957"/>
        <v>8.2130965593784744E-2</v>
      </c>
      <c r="AD1292" s="1669">
        <f t="shared" si="958"/>
        <v>0.28258882478632474</v>
      </c>
      <c r="AE1292" s="261">
        <f t="shared" si="947"/>
        <v>2.9022175919035571</v>
      </c>
      <c r="AF1292" s="1359">
        <f t="shared" si="962"/>
        <v>2.7761111111111112</v>
      </c>
      <c r="AG1292" s="1896">
        <v>5.05</v>
      </c>
      <c r="AH1292" s="1361">
        <f t="shared" si="948"/>
        <v>0.28000000000000003</v>
      </c>
      <c r="AI1292" s="77">
        <f t="shared" si="959"/>
        <v>5.7726411056075337E-2</v>
      </c>
      <c r="AJ1292" s="333">
        <v>944</v>
      </c>
      <c r="AK1292" s="270">
        <f t="shared" si="949"/>
        <v>434.16138637952332</v>
      </c>
      <c r="AL1292" s="506">
        <f t="shared" si="960"/>
        <v>6.3541169286428639E-2</v>
      </c>
      <c r="AM1292" s="77">
        <f t="shared" si="950"/>
        <v>1.2240981353250862E-2</v>
      </c>
      <c r="AN1292" s="77">
        <f t="shared" si="951"/>
        <v>4.6563303424980829E-2</v>
      </c>
      <c r="AO1292" s="13"/>
      <c r="AP1292" s="13"/>
    </row>
    <row r="1293" spans="1:42" ht="15.75">
      <c r="A1293" s="187"/>
      <c r="B1293" s="699" t="s">
        <v>496</v>
      </c>
      <c r="C1293" s="250" t="s">
        <v>426</v>
      </c>
      <c r="D1293" s="250">
        <v>132</v>
      </c>
      <c r="E1293" s="251">
        <v>10</v>
      </c>
      <c r="F1293" s="250">
        <v>50</v>
      </c>
      <c r="G1293" s="328">
        <v>216</v>
      </c>
      <c r="H1293" s="453">
        <f t="shared" si="952"/>
        <v>231.12</v>
      </c>
      <c r="I1293" s="453">
        <f t="shared" si="953"/>
        <v>127.116</v>
      </c>
      <c r="J1293" s="1045">
        <f t="shared" si="963"/>
        <v>118.8</v>
      </c>
      <c r="K1293" s="1094">
        <v>286</v>
      </c>
      <c r="L1293" s="322">
        <v>136</v>
      </c>
      <c r="M1293" s="335">
        <f t="shared" si="937"/>
        <v>1.0303030303030303</v>
      </c>
      <c r="N1293" s="765">
        <f t="shared" si="954"/>
        <v>143</v>
      </c>
      <c r="O1293" s="329">
        <f t="shared" si="938"/>
        <v>0.20370370370370372</v>
      </c>
      <c r="P1293" s="330">
        <f t="shared" si="955"/>
        <v>0.12495673243336802</v>
      </c>
      <c r="Q1293" s="336">
        <v>1.77</v>
      </c>
      <c r="R1293" s="382">
        <f t="shared" si="939"/>
        <v>83.248410000000007</v>
      </c>
      <c r="S1293" s="918">
        <f t="shared" si="940"/>
        <v>0.29925580808080798</v>
      </c>
      <c r="T1293" s="696">
        <f t="shared" si="956"/>
        <v>0.34509888605682992</v>
      </c>
      <c r="U1293" s="1358">
        <v>1.514</v>
      </c>
      <c r="V1293" s="1359">
        <f t="shared" si="941"/>
        <v>1.99091</v>
      </c>
      <c r="W1293" s="1359">
        <f t="shared" si="942"/>
        <v>93.638470029999993</v>
      </c>
      <c r="X1293" s="1360">
        <f t="shared" si="961"/>
        <v>130</v>
      </c>
      <c r="Y1293" s="1359">
        <f t="shared" si="943"/>
        <v>125.08000000000001</v>
      </c>
      <c r="Z1293" s="1360">
        <f t="shared" si="944"/>
        <v>236</v>
      </c>
      <c r="AA1293" s="1361">
        <f t="shared" si="945"/>
        <v>0.27970407669230773</v>
      </c>
      <c r="AB1293" s="1361">
        <f t="shared" si="946"/>
        <v>0.25137136208826366</v>
      </c>
      <c r="AC1293" s="1696">
        <f t="shared" si="957"/>
        <v>0.14326830828269888</v>
      </c>
      <c r="AD1293" s="1669">
        <f t="shared" si="958"/>
        <v>0.3179015877768066</v>
      </c>
      <c r="AE1293" s="261">
        <f t="shared" si="947"/>
        <v>3.0404184296132502</v>
      </c>
      <c r="AF1293" s="1359">
        <f t="shared" si="962"/>
        <v>2.7651527777777778</v>
      </c>
      <c r="AG1293" s="1896">
        <v>5.03</v>
      </c>
      <c r="AH1293" s="1361">
        <f t="shared" si="948"/>
        <v>0.28000000000000003</v>
      </c>
      <c r="AI1293" s="77">
        <f t="shared" si="959"/>
        <v>2.5071852259524248E-2</v>
      </c>
      <c r="AJ1293" s="333">
        <v>410</v>
      </c>
      <c r="AK1293" s="270">
        <f t="shared" si="949"/>
        <v>217.16993992424239</v>
      </c>
      <c r="AL1293" s="506">
        <f t="shared" si="960"/>
        <v>3.1783646242061675E-2</v>
      </c>
      <c r="AM1293" s="77">
        <f t="shared" si="950"/>
        <v>5.3165279182551418E-3</v>
      </c>
      <c r="AN1293" s="77">
        <f t="shared" si="951"/>
        <v>2.3291223320900754E-2</v>
      </c>
      <c r="AO1293" s="13"/>
      <c r="AP1293" s="13"/>
    </row>
    <row r="1294" spans="1:42" ht="15.75">
      <c r="A1294" s="187"/>
      <c r="B1294" s="699" t="s">
        <v>497</v>
      </c>
      <c r="C1294" s="250" t="s">
        <v>498</v>
      </c>
      <c r="D1294" s="250">
        <v>160</v>
      </c>
      <c r="E1294" s="251">
        <v>5</v>
      </c>
      <c r="F1294" s="250">
        <v>40</v>
      </c>
      <c r="G1294" s="328">
        <v>278</v>
      </c>
      <c r="H1294" s="453">
        <f t="shared" si="952"/>
        <v>297.46000000000004</v>
      </c>
      <c r="I1294" s="453">
        <f t="shared" si="953"/>
        <v>163.60300000000001</v>
      </c>
      <c r="J1294" s="1045">
        <f t="shared" si="963"/>
        <v>152.89999999999998</v>
      </c>
      <c r="K1294" s="1094">
        <v>367</v>
      </c>
      <c r="L1294" s="322">
        <v>233</v>
      </c>
      <c r="M1294" s="335">
        <f t="shared" si="937"/>
        <v>1.45625</v>
      </c>
      <c r="N1294" s="765">
        <f t="shared" si="954"/>
        <v>183.5</v>
      </c>
      <c r="O1294" s="329">
        <f t="shared" si="938"/>
        <v>0.20013080444735132</v>
      </c>
      <c r="P1294" s="330">
        <f t="shared" si="955"/>
        <v>0.12161757424986086</v>
      </c>
      <c r="Q1294" s="336">
        <v>2.33</v>
      </c>
      <c r="R1294" s="382">
        <f t="shared" si="939"/>
        <v>109.58689000000001</v>
      </c>
      <c r="S1294" s="918">
        <f t="shared" si="940"/>
        <v>0.28327737083060806</v>
      </c>
      <c r="T1294" s="696">
        <f t="shared" si="956"/>
        <v>0.33016576713140955</v>
      </c>
      <c r="U1294" s="1358">
        <v>1.9319999999999999</v>
      </c>
      <c r="V1294" s="1359">
        <f t="shared" si="941"/>
        <v>2.5405799999999998</v>
      </c>
      <c r="W1294" s="1359">
        <f t="shared" si="942"/>
        <v>119.49109913999999</v>
      </c>
      <c r="X1294" s="1360">
        <f t="shared" si="961"/>
        <v>166</v>
      </c>
      <c r="Y1294" s="1359">
        <f t="shared" si="943"/>
        <v>160.06</v>
      </c>
      <c r="Z1294" s="1360">
        <f t="shared" si="944"/>
        <v>302</v>
      </c>
      <c r="AA1294" s="1361">
        <f t="shared" si="945"/>
        <v>0.28017410156626515</v>
      </c>
      <c r="AB1294" s="1361">
        <f t="shared" si="946"/>
        <v>0.2534605826565039</v>
      </c>
      <c r="AC1294" s="1696">
        <f t="shared" si="957"/>
        <v>0.14644508309383975</v>
      </c>
      <c r="AD1294" s="1669">
        <f t="shared" si="958"/>
        <v>0.32168994584468669</v>
      </c>
      <c r="AE1294" s="261">
        <f t="shared" si="947"/>
        <v>3.9015159568813385</v>
      </c>
      <c r="AF1294" s="1359">
        <f t="shared" si="962"/>
        <v>3.5285833333333332</v>
      </c>
      <c r="AG1294" s="1896">
        <v>6.42</v>
      </c>
      <c r="AH1294" s="1361">
        <f t="shared" si="948"/>
        <v>0.28000000000000003</v>
      </c>
      <c r="AI1294" s="77">
        <f t="shared" si="959"/>
        <v>5.9927841986179902E-3</v>
      </c>
      <c r="AJ1294" s="333">
        <v>98</v>
      </c>
      <c r="AK1294" s="270">
        <f t="shared" si="949"/>
        <v>64.683554855461054</v>
      </c>
      <c r="AL1294" s="506">
        <f t="shared" si="960"/>
        <v>9.4666841364976113E-3</v>
      </c>
      <c r="AM1294" s="77">
        <f t="shared" si="950"/>
        <v>1.2707798438756192E-3</v>
      </c>
      <c r="AN1294" s="77">
        <f t="shared" si="951"/>
        <v>6.9372359814338308E-3</v>
      </c>
      <c r="AO1294" s="13"/>
      <c r="AP1294" s="13"/>
    </row>
    <row r="1295" spans="1:42" ht="15.75">
      <c r="A1295" s="187"/>
      <c r="B1295" s="699" t="s">
        <v>499</v>
      </c>
      <c r="C1295" s="250" t="s">
        <v>500</v>
      </c>
      <c r="D1295" s="250">
        <v>158</v>
      </c>
      <c r="E1295" s="251">
        <v>5</v>
      </c>
      <c r="F1295" s="250">
        <v>40</v>
      </c>
      <c r="G1295" s="328">
        <v>208</v>
      </c>
      <c r="H1295" s="453">
        <f t="shared" si="952"/>
        <v>222.56</v>
      </c>
      <c r="I1295" s="453">
        <f t="shared" si="953"/>
        <v>122.408</v>
      </c>
      <c r="J1295" s="1045">
        <f t="shared" si="963"/>
        <v>114.39999999999999</v>
      </c>
      <c r="K1295" s="1094">
        <v>324</v>
      </c>
      <c r="L1295" s="322">
        <v>231</v>
      </c>
      <c r="M1295" s="335">
        <f t="shared" si="937"/>
        <v>1.4620253164556962</v>
      </c>
      <c r="N1295" s="765">
        <f t="shared" si="954"/>
        <v>162</v>
      </c>
      <c r="O1295" s="329">
        <f t="shared" si="938"/>
        <v>0.41608391608391626</v>
      </c>
      <c r="P1295" s="330">
        <f t="shared" si="955"/>
        <v>0.32344291222795896</v>
      </c>
      <c r="Q1295" s="336">
        <v>2.35</v>
      </c>
      <c r="R1295" s="382">
        <f t="shared" si="939"/>
        <v>110.52755000000001</v>
      </c>
      <c r="S1295" s="918">
        <f t="shared" si="940"/>
        <v>3.3850087412587299E-2</v>
      </c>
      <c r="T1295" s="696">
        <f t="shared" si="956"/>
        <v>9.7056156460362031E-2</v>
      </c>
      <c r="U1295" s="1358">
        <v>1.6279999999999999</v>
      </c>
      <c r="V1295" s="1359">
        <f t="shared" si="941"/>
        <v>2.1408199999999997</v>
      </c>
      <c r="W1295" s="1359">
        <f t="shared" si="942"/>
        <v>100.68918705999999</v>
      </c>
      <c r="X1295" s="1360">
        <f t="shared" si="961"/>
        <v>140</v>
      </c>
      <c r="Y1295" s="1359">
        <f t="shared" si="943"/>
        <v>135.15</v>
      </c>
      <c r="Z1295" s="1360">
        <f t="shared" si="944"/>
        <v>255</v>
      </c>
      <c r="AA1295" s="1361">
        <f t="shared" si="945"/>
        <v>0.28079152100000004</v>
      </c>
      <c r="AB1295" s="1361">
        <f t="shared" si="946"/>
        <v>0.25498196773954873</v>
      </c>
      <c r="AC1295" s="1696">
        <f t="shared" si="957"/>
        <v>0.19866814650388442</v>
      </c>
      <c r="AD1295" s="1669">
        <f t="shared" si="958"/>
        <v>0.35256438361625508</v>
      </c>
      <c r="AE1295" s="261">
        <f t="shared" si="947"/>
        <v>3.4443901090723532</v>
      </c>
      <c r="AF1295" s="1359">
        <f t="shared" si="962"/>
        <v>2.9733611111111107</v>
      </c>
      <c r="AG1295" s="1896">
        <v>5.41</v>
      </c>
      <c r="AH1295" s="1361">
        <f t="shared" si="948"/>
        <v>0.27999999999999997</v>
      </c>
      <c r="AI1295" s="77">
        <f t="shared" si="959"/>
        <v>5.564728184430991E-3</v>
      </c>
      <c r="AJ1295" s="333">
        <v>91</v>
      </c>
      <c r="AK1295" s="270">
        <f t="shared" si="949"/>
        <v>7.2388411931817949</v>
      </c>
      <c r="AL1295" s="506">
        <f t="shared" si="960"/>
        <v>1.0594319258310511E-3</v>
      </c>
      <c r="AM1295" s="77">
        <f t="shared" si="950"/>
        <v>1.1800098550273606E-3</v>
      </c>
      <c r="AN1295" s="77">
        <f t="shared" si="951"/>
        <v>7.76357293618757E-4</v>
      </c>
      <c r="AO1295" s="13"/>
      <c r="AP1295" s="13"/>
    </row>
    <row r="1296" spans="1:42" ht="15.75">
      <c r="A1296" s="187"/>
      <c r="B1296" s="699" t="s">
        <v>501</v>
      </c>
      <c r="C1296" s="250" t="s">
        <v>502</v>
      </c>
      <c r="D1296" s="250">
        <v>176</v>
      </c>
      <c r="E1296" s="251">
        <v>5</v>
      </c>
      <c r="F1296" s="250">
        <v>40</v>
      </c>
      <c r="G1296" s="328">
        <v>282</v>
      </c>
      <c r="H1296" s="453">
        <f t="shared" si="952"/>
        <v>301.74</v>
      </c>
      <c r="I1296" s="453">
        <f t="shared" si="953"/>
        <v>165.95699999999999</v>
      </c>
      <c r="J1296" s="1045">
        <f t="shared" si="963"/>
        <v>155.1</v>
      </c>
      <c r="K1296" s="1094">
        <v>372</v>
      </c>
      <c r="L1296" s="322">
        <v>249</v>
      </c>
      <c r="M1296" s="335">
        <f t="shared" si="937"/>
        <v>1.4147727272727273</v>
      </c>
      <c r="N1296" s="765">
        <f t="shared" si="954"/>
        <v>186</v>
      </c>
      <c r="O1296" s="329">
        <f t="shared" si="938"/>
        <v>0.19922630560928445</v>
      </c>
      <c r="P1296" s="330">
        <f t="shared" si="955"/>
        <v>0.12077224823297605</v>
      </c>
      <c r="Q1296" s="336">
        <v>2.5</v>
      </c>
      <c r="R1296" s="382">
        <f t="shared" si="939"/>
        <v>117.58250000000001</v>
      </c>
      <c r="S1296" s="918">
        <f t="shared" si="940"/>
        <v>0.24189232753062531</v>
      </c>
      <c r="T1296" s="696">
        <f t="shared" si="956"/>
        <v>0.29148815657067784</v>
      </c>
      <c r="U1296" s="261">
        <v>2.0819999999999999</v>
      </c>
      <c r="V1296" s="1359">
        <f t="shared" si="941"/>
        <v>2.7378299999999998</v>
      </c>
      <c r="W1296" s="1359">
        <f t="shared" si="942"/>
        <v>128.76835839</v>
      </c>
      <c r="X1296" s="1360">
        <f>(ROUND(W1296/(1-$AB$1278),0))</f>
        <v>169</v>
      </c>
      <c r="Y1296" s="1359">
        <f t="shared" si="943"/>
        <v>162.71</v>
      </c>
      <c r="Z1296" s="1360">
        <f t="shared" si="944"/>
        <v>307</v>
      </c>
      <c r="AA1296" s="1361">
        <f t="shared" si="945"/>
        <v>0.23805705094674554</v>
      </c>
      <c r="AB1296" s="1361">
        <f t="shared" si="946"/>
        <v>0.20860206262675929</v>
      </c>
      <c r="AC1296" s="1696">
        <f t="shared" si="957"/>
        <v>0.14313809845737802</v>
      </c>
      <c r="AD1296" s="1669">
        <f t="shared" si="958"/>
        <v>0.27885103948252687</v>
      </c>
      <c r="AE1296" s="261">
        <f t="shared" si="947"/>
        <v>3.9546701252312206</v>
      </c>
      <c r="AF1296" s="1359">
        <f>(V1296/(1-$AB$1278))</f>
        <v>3.6024078947368419</v>
      </c>
      <c r="AG1296" s="1896">
        <f>AF1296/(1-$X$1234)</f>
        <v>6.5498325358851668</v>
      </c>
      <c r="AH1296" s="1361">
        <f t="shared" si="948"/>
        <v>0.24000000000000002</v>
      </c>
      <c r="AI1296" s="77">
        <f t="shared" si="959"/>
        <v>3.4244481134959946E-2</v>
      </c>
      <c r="AJ1296" s="333">
        <v>560</v>
      </c>
      <c r="AK1296" s="270">
        <f t="shared" si="949"/>
        <v>338.64925854287549</v>
      </c>
      <c r="AL1296" s="506">
        <f t="shared" si="960"/>
        <v>4.9562606304620158E-2</v>
      </c>
      <c r="AM1296" s="77">
        <f t="shared" si="950"/>
        <v>7.261599107860681E-3</v>
      </c>
      <c r="AN1296" s="77">
        <f t="shared" si="951"/>
        <v>3.6319738868699172E-2</v>
      </c>
      <c r="AO1296" s="13"/>
      <c r="AP1296" s="13"/>
    </row>
    <row r="1297" spans="1:42" ht="15.75">
      <c r="A1297" s="187"/>
      <c r="B1297" s="699" t="s">
        <v>503</v>
      </c>
      <c r="C1297" s="250" t="s">
        <v>504</v>
      </c>
      <c r="D1297" s="250">
        <v>213</v>
      </c>
      <c r="E1297" s="251">
        <v>5</v>
      </c>
      <c r="F1297" s="250">
        <v>40</v>
      </c>
      <c r="G1297" s="328">
        <v>292</v>
      </c>
      <c r="H1297" s="453">
        <f t="shared" si="952"/>
        <v>312.44</v>
      </c>
      <c r="I1297" s="453">
        <f t="shared" si="953"/>
        <v>171.84199999999998</v>
      </c>
      <c r="J1297" s="1045">
        <f t="shared" si="963"/>
        <v>160.6</v>
      </c>
      <c r="K1297" s="1094">
        <v>387</v>
      </c>
      <c r="L1297" s="322">
        <v>255</v>
      </c>
      <c r="M1297" s="335">
        <f t="shared" si="937"/>
        <v>1.1971830985915493</v>
      </c>
      <c r="N1297" s="765">
        <f t="shared" si="954"/>
        <v>193.5</v>
      </c>
      <c r="O1297" s="329">
        <f t="shared" si="938"/>
        <v>0.20485678704856802</v>
      </c>
      <c r="P1297" s="330">
        <f t="shared" si="955"/>
        <v>0.12603438041922232</v>
      </c>
      <c r="Q1297" s="336">
        <v>2.87</v>
      </c>
      <c r="R1297" s="382">
        <f t="shared" si="939"/>
        <v>134.98471000000001</v>
      </c>
      <c r="S1297" s="918">
        <f t="shared" si="940"/>
        <v>0.15949744707347441</v>
      </c>
      <c r="T1297" s="696">
        <f t="shared" si="956"/>
        <v>0.21448359539577042</v>
      </c>
      <c r="U1297" s="261">
        <v>2.194</v>
      </c>
      <c r="V1297" s="1359">
        <f t="shared" si="941"/>
        <v>2.8851099999999996</v>
      </c>
      <c r="W1297" s="1359">
        <f t="shared" si="942"/>
        <v>135.69537862999999</v>
      </c>
      <c r="X1297" s="1360">
        <f>(ROUND(W1297/(1-$AB$1278),0))</f>
        <v>179</v>
      </c>
      <c r="Y1297" s="1359">
        <f t="shared" si="943"/>
        <v>172.25</v>
      </c>
      <c r="Z1297" s="1360">
        <f t="shared" si="944"/>
        <v>325</v>
      </c>
      <c r="AA1297" s="1361">
        <f t="shared" si="945"/>
        <v>0.24192525905027937</v>
      </c>
      <c r="AB1297" s="1361">
        <f t="shared" si="946"/>
        <v>0.21221841143686507</v>
      </c>
      <c r="AC1297" s="1696">
        <f t="shared" si="957"/>
        <v>0.12336719883889691</v>
      </c>
      <c r="AD1297" s="1669">
        <f t="shared" si="958"/>
        <v>0.26951238894272178</v>
      </c>
      <c r="AE1297" s="261">
        <f t="shared" si="947"/>
        <v>4.1141326302808663</v>
      </c>
      <c r="AF1297" s="1359">
        <f>(V1297/(1-$AB$1278))</f>
        <v>3.7961973684210522</v>
      </c>
      <c r="AG1297" s="1896">
        <v>6.9</v>
      </c>
      <c r="AH1297" s="1361">
        <f t="shared" si="948"/>
        <v>0.24</v>
      </c>
      <c r="AI1297" s="77">
        <f t="shared" si="959"/>
        <v>1.149636152387941E-2</v>
      </c>
      <c r="AJ1297" s="333">
        <v>188</v>
      </c>
      <c r="AK1297" s="270">
        <f t="shared" si="949"/>
        <v>86.05844254296386</v>
      </c>
      <c r="AL1297" s="506">
        <f t="shared" si="960"/>
        <v>1.2594980202520291E-2</v>
      </c>
      <c r="AM1297" s="77">
        <f t="shared" si="950"/>
        <v>2.4378225576389429E-3</v>
      </c>
      <c r="AN1297" s="77">
        <f t="shared" si="951"/>
        <v>9.2296678104543152E-3</v>
      </c>
      <c r="AO1297" s="13"/>
      <c r="AP1297" s="13"/>
    </row>
    <row r="1298" spans="1:42" ht="16.5" thickBot="1">
      <c r="A1298" s="187"/>
      <c r="B1298" s="699" t="s">
        <v>505</v>
      </c>
      <c r="C1298" s="250" t="s">
        <v>506</v>
      </c>
      <c r="D1298" s="250">
        <v>280</v>
      </c>
      <c r="E1298" s="251">
        <v>5</v>
      </c>
      <c r="F1298" s="250">
        <v>30</v>
      </c>
      <c r="G1298" s="328">
        <v>432</v>
      </c>
      <c r="H1298" s="453">
        <f t="shared" si="952"/>
        <v>462.24</v>
      </c>
      <c r="I1298" s="453">
        <f t="shared" si="953"/>
        <v>254.232</v>
      </c>
      <c r="J1298" s="1045">
        <f t="shared" si="963"/>
        <v>237.6</v>
      </c>
      <c r="K1298" s="900">
        <v>571</v>
      </c>
      <c r="L1298" s="341">
        <v>412</v>
      </c>
      <c r="M1298" s="342">
        <f t="shared" si="937"/>
        <v>1.4714285714285715</v>
      </c>
      <c r="N1298" s="765">
        <f t="shared" si="954"/>
        <v>285.5</v>
      </c>
      <c r="O1298" s="363">
        <f t="shared" si="938"/>
        <v>0.20159932659932656</v>
      </c>
      <c r="P1298" s="343">
        <f t="shared" si="955"/>
        <v>0.12299002485918376</v>
      </c>
      <c r="Q1298" s="336">
        <v>4.17</v>
      </c>
      <c r="R1298" s="382">
        <f t="shared" si="939"/>
        <v>196.12761</v>
      </c>
      <c r="S1298" s="918">
        <f t="shared" si="940"/>
        <v>0.17454709595959592</v>
      </c>
      <c r="T1298" s="919">
        <f t="shared" si="956"/>
        <v>0.22854868781270649</v>
      </c>
      <c r="U1298" s="261">
        <v>2.8839999999999999</v>
      </c>
      <c r="V1298" s="1359">
        <f t="shared" si="941"/>
        <v>3.7924599999999997</v>
      </c>
      <c r="W1298" s="1359">
        <f t="shared" si="942"/>
        <v>178.37077117999999</v>
      </c>
      <c r="X1298" s="1360">
        <f t="shared" si="961"/>
        <v>248</v>
      </c>
      <c r="Y1298" s="1359">
        <f t="shared" si="943"/>
        <v>239.03</v>
      </c>
      <c r="Z1298" s="1360">
        <f t="shared" si="944"/>
        <v>451</v>
      </c>
      <c r="AA1298" s="1361">
        <f t="shared" si="945"/>
        <v>0.28076301943548393</v>
      </c>
      <c r="AB1298" s="1361">
        <f t="shared" si="946"/>
        <v>0.25377245040371504</v>
      </c>
      <c r="AC1298" s="1696">
        <f t="shared" si="957"/>
        <v>0.1944107434213278</v>
      </c>
      <c r="AD1298" s="1669">
        <f t="shared" si="958"/>
        <v>0.34920179808814944</v>
      </c>
      <c r="AE1298" s="261">
        <f t="shared" si="947"/>
        <v>6.0702060255565238</v>
      </c>
      <c r="AF1298" s="1359">
        <f t="shared" si="962"/>
        <v>5.2673055555555557</v>
      </c>
      <c r="AG1298" s="1896">
        <v>9.58</v>
      </c>
      <c r="AH1298" s="1361">
        <f t="shared" si="948"/>
        <v>0.28000000000000008</v>
      </c>
      <c r="AI1298" s="77">
        <f t="shared" si="959"/>
        <v>4.341711001039565E-3</v>
      </c>
      <c r="AJ1298" s="333">
        <v>71</v>
      </c>
      <c r="AK1298" s="270">
        <f t="shared" si="949"/>
        <v>51.678158700757564</v>
      </c>
      <c r="AL1298" s="506">
        <f t="shared" si="960"/>
        <v>7.5632949714816754E-3</v>
      </c>
      <c r="AM1298" s="77">
        <f t="shared" si="950"/>
        <v>9.2066702974662206E-4</v>
      </c>
      <c r="AN1298" s="77">
        <f t="shared" si="951"/>
        <v>5.5424223791385469E-3</v>
      </c>
      <c r="AO1298" s="13"/>
      <c r="AP1298" s="13"/>
    </row>
    <row r="1299" spans="1:42" ht="15.75" thickBot="1">
      <c r="A1299" s="149" t="s">
        <v>162</v>
      </c>
      <c r="J1299" s="532"/>
      <c r="K1299" s="1831"/>
      <c r="N1299" s="1756"/>
      <c r="P1299" s="886"/>
      <c r="Q1299" s="1091"/>
      <c r="R1299" s="1092"/>
      <c r="S1299" s="1092"/>
      <c r="T1299" s="365"/>
      <c r="U1299" s="366"/>
      <c r="V1299" s="366"/>
      <c r="W1299" s="366"/>
      <c r="X1299" s="366"/>
      <c r="Y1299" s="366"/>
      <c r="Z1299" s="366"/>
      <c r="AA1299" s="367"/>
      <c r="AB1299" s="367"/>
      <c r="AC1299" s="367"/>
      <c r="AD1299" s="367">
        <f>AVERAGE(AD1280:AD1298)</f>
        <v>0.29531178098693256</v>
      </c>
      <c r="AE1299" s="366"/>
      <c r="AF1299" s="366"/>
      <c r="AG1299" s="1872"/>
      <c r="AH1299" s="367"/>
      <c r="AI1299" s="512">
        <f>S1280*AI1280+S1281*AI1281+S1282*AI1282+S1283*AI1283+S1284*AI1284+S1285*AI1285+S1286*AI1286+S1287*AI1287+S1288*AI1288+S1289*AI1289+S1290*AI1290+S1291*AI1292+S1292*AI1292+S1293*AI1293+S1294*AI1294+S1295*AI1295+S1296*AI1296+S1297*AI1297+S1298*AI1298</f>
        <v>0.17809911233725681</v>
      </c>
      <c r="AJ1299" s="513">
        <f>SUM(AJ1280:AJ1298)</f>
        <v>16353</v>
      </c>
      <c r="AK1299" s="514">
        <f>SUM(AK1280:AK1298)</f>
        <v>6832.7572698957738</v>
      </c>
      <c r="AM1299" s="307">
        <f>SUM(AM1280:AM1298)</f>
        <v>0.21205166109079593</v>
      </c>
      <c r="AN1299" s="307">
        <f>SUM(AN1280:AN1298)</f>
        <v>0.73280526543483049</v>
      </c>
      <c r="AO1299" s="13"/>
      <c r="AP1299" s="13"/>
    </row>
    <row r="1300" spans="1:42" ht="15.75" thickBot="1">
      <c r="A1300" s="187"/>
      <c r="B1300" s="157"/>
      <c r="C1300" s="157" t="s">
        <v>163</v>
      </c>
      <c r="J1300" s="532"/>
      <c r="K1300" s="1850" t="s">
        <v>1491</v>
      </c>
      <c r="L1300" s="1850"/>
      <c r="M1300" s="1850"/>
      <c r="N1300" s="898"/>
      <c r="O1300" s="899"/>
      <c r="P1300" s="459"/>
      <c r="U1300" s="309"/>
      <c r="V1300" s="309"/>
      <c r="W1300" s="309"/>
      <c r="X1300" s="309"/>
      <c r="Y1300" s="309"/>
      <c r="Z1300" s="346">
        <v>0.14000000000000001</v>
      </c>
      <c r="AA1300" s="346">
        <v>0.19</v>
      </c>
      <c r="AB1300" s="628">
        <v>0.28000000000000003</v>
      </c>
      <c r="AC1300" s="628">
        <v>0.09</v>
      </c>
      <c r="AD1300" s="585"/>
      <c r="AE1300" s="188"/>
      <c r="AF1300" s="188"/>
      <c r="AG1300" s="1866"/>
      <c r="AH1300" s="1851"/>
      <c r="AO1300" s="13"/>
      <c r="AP1300" s="13"/>
    </row>
    <row r="1301" spans="1:42" ht="60.75" thickBot="1">
      <c r="A1301" s="187"/>
      <c r="B1301" s="189" t="s">
        <v>10</v>
      </c>
      <c r="C1301" s="190" t="s">
        <v>11</v>
      </c>
      <c r="D1301" s="190" t="s">
        <v>12</v>
      </c>
      <c r="E1301" s="190" t="s">
        <v>13</v>
      </c>
      <c r="F1301" s="190" t="s">
        <v>14</v>
      </c>
      <c r="G1301" s="191" t="s">
        <v>15</v>
      </c>
      <c r="H1301" s="347" t="s">
        <v>1090</v>
      </c>
      <c r="I1301" s="347">
        <f>$C$22</f>
        <v>0.45</v>
      </c>
      <c r="J1301" s="873">
        <f>$C$22</f>
        <v>0.45</v>
      </c>
      <c r="K1301" s="601" t="s">
        <v>15</v>
      </c>
      <c r="L1301" s="315" t="s">
        <v>12</v>
      </c>
      <c r="M1301" s="316" t="s">
        <v>1091</v>
      </c>
      <c r="N1301" s="605" t="s">
        <v>993</v>
      </c>
      <c r="O1301" s="317" t="s">
        <v>1092</v>
      </c>
      <c r="P1301" s="602" t="s">
        <v>1092</v>
      </c>
      <c r="Q1301" s="875" t="s">
        <v>1093</v>
      </c>
      <c r="R1301" s="876" t="s">
        <v>1094</v>
      </c>
      <c r="S1301" s="1126" t="s">
        <v>1095</v>
      </c>
      <c r="T1301" s="1376" t="s">
        <v>1095</v>
      </c>
      <c r="U1301" s="204" t="s">
        <v>1096</v>
      </c>
      <c r="V1301" s="205" t="s">
        <v>1093</v>
      </c>
      <c r="W1301" s="206" t="s">
        <v>1094</v>
      </c>
      <c r="X1301" s="207" t="s">
        <v>1097</v>
      </c>
      <c r="Y1301" s="208">
        <f>$X$1235</f>
        <v>0.47</v>
      </c>
      <c r="Z1301" s="207" t="s">
        <v>1098</v>
      </c>
      <c r="AA1301" s="209" t="s">
        <v>1099</v>
      </c>
      <c r="AB1301" s="209" t="s">
        <v>1100</v>
      </c>
      <c r="AC1301" s="210" t="s">
        <v>1092</v>
      </c>
      <c r="AD1301" s="211" t="s">
        <v>1101</v>
      </c>
      <c r="AE1301" s="212" t="s">
        <v>1102</v>
      </c>
      <c r="AF1301" s="208" t="s">
        <v>1103</v>
      </c>
      <c r="AG1301" s="1867" t="s">
        <v>1104</v>
      </c>
      <c r="AH1301" s="213" t="s">
        <v>1105</v>
      </c>
      <c r="AI1301" s="220" t="s">
        <v>1106</v>
      </c>
      <c r="AJ1301" s="483" t="s">
        <v>1107</v>
      </c>
      <c r="AK1301" s="484" t="s">
        <v>1108</v>
      </c>
      <c r="AL1301" s="221" t="s">
        <v>1109</v>
      </c>
      <c r="AM1301" s="221" t="s">
        <v>1175</v>
      </c>
      <c r="AN1301" s="221" t="s">
        <v>1176</v>
      </c>
      <c r="AO1301" s="13"/>
      <c r="AP1301" s="13"/>
    </row>
    <row r="1302" spans="1:42" ht="15.75">
      <c r="A1302" s="271"/>
      <c r="B1302" s="1832" t="s">
        <v>507</v>
      </c>
      <c r="C1302" s="925" t="s">
        <v>508</v>
      </c>
      <c r="D1302" s="926">
        <v>126</v>
      </c>
      <c r="E1302" s="926">
        <v>10</v>
      </c>
      <c r="F1302" s="926">
        <v>100</v>
      </c>
      <c r="G1302" s="433">
        <v>139</v>
      </c>
      <c r="H1302" s="453">
        <f>G1302*(1+$H$33)</f>
        <v>148.73000000000002</v>
      </c>
      <c r="I1302" s="453">
        <f>H1302-H1302*$J$1239</f>
        <v>81.801500000000004</v>
      </c>
      <c r="J1302" s="1567">
        <f t="shared" ref="J1302:J1307" si="964">G1302-G1302*$J$1239</f>
        <v>76.449999999999989</v>
      </c>
      <c r="K1302" s="1568">
        <v>169</v>
      </c>
      <c r="L1302" s="929">
        <v>120</v>
      </c>
      <c r="M1302" s="1516">
        <f t="shared" ref="M1302:M1308" si="965">L1302/D1302*100%</f>
        <v>0.95238095238095233</v>
      </c>
      <c r="N1302" s="1768">
        <f>K1302-(K1302*$O$33)</f>
        <v>84.5</v>
      </c>
      <c r="O1302" s="1510">
        <f t="shared" ref="O1302:O1308" si="966">((N1302/J1302)-1)*100%</f>
        <v>0.10529758011772428</v>
      </c>
      <c r="P1302" s="472">
        <f>((N1302/I1302)-1)*100%</f>
        <v>3.2988392633386932E-2</v>
      </c>
      <c r="Q1302" s="1012">
        <v>1.6763612565445025</v>
      </c>
      <c r="R1302" s="496">
        <f t="shared" ref="R1302:R1308" si="967">Q1302*$R$33</f>
        <v>78.844298979057584</v>
      </c>
      <c r="S1302" s="1778">
        <f t="shared" ref="S1302:S1308" si="968">((J1302-R1302)/J1302)*100%</f>
        <v>-3.1318495474919494E-2</v>
      </c>
      <c r="T1302" s="696">
        <f>((I1302-R1302)/I1302)*100%</f>
        <v>3.6150938808486646E-2</v>
      </c>
      <c r="U1302" s="1358">
        <v>1.298</v>
      </c>
      <c r="V1302" s="1359">
        <f t="shared" ref="V1302:V1308" si="969">U1302*$U$1234</f>
        <v>1.7068699999999999</v>
      </c>
      <c r="W1302" s="1359">
        <f t="shared" ref="W1302:W1308" si="970">V1302*$R$33</f>
        <v>80.27921671</v>
      </c>
      <c r="X1302" s="1360">
        <f>(ROUND(W1302/(1-$AC$1300),0))</f>
        <v>88</v>
      </c>
      <c r="Y1302" s="1359">
        <f t="shared" ref="Y1302:Y1308" si="971">Z1302*(1-$X$1235)</f>
        <v>84.800000000000011</v>
      </c>
      <c r="Z1302" s="1360">
        <f t="shared" ref="Z1302:Z1308" si="972">ROUND(X1302/(1-$X$1234),0)</f>
        <v>160</v>
      </c>
      <c r="AA1302" s="1361">
        <f t="shared" ref="AA1302:AA1308" si="973">((X1302-W1302)/X1302)*100%</f>
        <v>8.7736173749999993E-2</v>
      </c>
      <c r="AB1302" s="1361">
        <f t="shared" ref="AB1302:AB1308" si="974">((Y1302-W1302)/Y1302)*100%</f>
        <v>5.3311123702830317E-2</v>
      </c>
      <c r="AC1302" s="1696">
        <f t="shared" ref="AC1302:AC1308" si="975">((N1302/Y1302)-1)*100%</f>
        <v>-3.5377358490567001E-3</v>
      </c>
      <c r="AD1302" s="1669">
        <f t="shared" ref="AD1302:AD1308" si="976">((N1302*0.96-W1302)/(N1302*0.96))*100%</f>
        <v>1.0364685527613294E-2</v>
      </c>
      <c r="AE1302" s="261">
        <f t="shared" ref="AE1302:AE1308" si="977">N1302/$R$33</f>
        <v>1.7966108902260114</v>
      </c>
      <c r="AF1302" s="1359">
        <f>(V1302/(1-$AC$1300))</f>
        <v>1.8756813186813186</v>
      </c>
      <c r="AG1302" s="1896">
        <f>AF1302/(1-$X$1234)</f>
        <v>3.4103296703296699</v>
      </c>
      <c r="AH1302" s="1361">
        <f t="shared" ref="AH1302:AH1308" si="978">((AF1302-V1302)/AF1302)*100%</f>
        <v>9.0000000000000024E-2</v>
      </c>
      <c r="AI1302" s="77">
        <f>AJ1302/$AJ$1309</f>
        <v>0.29726775956284152</v>
      </c>
      <c r="AJ1302" s="333">
        <v>272</v>
      </c>
      <c r="AK1302" s="270">
        <f t="shared" ref="AK1302:AK1308" si="979">Q1302*S1302*AJ1302</f>
        <v>-14.280302580258066</v>
      </c>
      <c r="AL1302" s="506">
        <f>AK1302/$AK$1309</f>
        <v>-0.12448289400771868</v>
      </c>
      <c r="AM1302" s="77">
        <f t="shared" ref="AM1302:AM1308" si="980">AJ1302/$AJ$1359</f>
        <v>3.527062423818045E-3</v>
      </c>
      <c r="AN1302" s="77">
        <f t="shared" ref="AN1302:AN1308" si="981">AK1302/$AK$1359</f>
        <v>-1.5315458327374964E-3</v>
      </c>
      <c r="AO1302" s="13"/>
      <c r="AP1302" s="13"/>
    </row>
    <row r="1303" spans="1:42" ht="15.75">
      <c r="A1303" s="187"/>
      <c r="B1303" s="250" t="s">
        <v>509</v>
      </c>
      <c r="C1303" s="250" t="s">
        <v>510</v>
      </c>
      <c r="D1303" s="251">
        <v>135</v>
      </c>
      <c r="E1303" s="251">
        <v>10</v>
      </c>
      <c r="F1303" s="251">
        <v>50</v>
      </c>
      <c r="G1303" s="328">
        <v>200</v>
      </c>
      <c r="H1303" s="453">
        <f t="shared" ref="H1303:H1308" si="982">G1303*(1+$H$33)</f>
        <v>214</v>
      </c>
      <c r="I1303" s="453">
        <f t="shared" ref="I1303:I1308" si="983">H1303-H1303*$J$1239</f>
        <v>117.7</v>
      </c>
      <c r="J1303" s="1045">
        <f t="shared" si="964"/>
        <v>110</v>
      </c>
      <c r="K1303" s="1094">
        <v>264</v>
      </c>
      <c r="L1303" s="322">
        <v>128</v>
      </c>
      <c r="M1303" s="323">
        <f t="shared" si="965"/>
        <v>0.94814814814814818</v>
      </c>
      <c r="N1303" s="1767">
        <f t="shared" ref="N1303:N1308" si="984">K1303-(K1303*$O$33)</f>
        <v>132</v>
      </c>
      <c r="O1303" s="469">
        <f t="shared" si="966"/>
        <v>0.19999999999999996</v>
      </c>
      <c r="P1303" s="472">
        <f t="shared" ref="P1303:P1308" si="985">((N1303/I1303)-1)*100%</f>
        <v>0.12149532710280364</v>
      </c>
      <c r="Q1303" s="336">
        <v>2.0390817901234568</v>
      </c>
      <c r="R1303" s="382">
        <f t="shared" si="967"/>
        <v>95.904133834876546</v>
      </c>
      <c r="S1303" s="918">
        <f t="shared" si="968"/>
        <v>0.12814423786475868</v>
      </c>
      <c r="T1303" s="696">
        <f t="shared" ref="T1303:T1308" si="986">((I1303-R1303)/I1303)*100%</f>
        <v>0.18518153071472776</v>
      </c>
      <c r="U1303" s="1358">
        <v>1.391</v>
      </c>
      <c r="V1303" s="1359">
        <f t="shared" si="969"/>
        <v>1.8291649999999999</v>
      </c>
      <c r="W1303" s="1359">
        <f t="shared" si="970"/>
        <v>86.031117444999992</v>
      </c>
      <c r="X1303" s="1360">
        <f>(ROUND(W1303/(1-$AB$1300),0))</f>
        <v>119</v>
      </c>
      <c r="Y1303" s="1359">
        <f t="shared" si="971"/>
        <v>114.48</v>
      </c>
      <c r="Z1303" s="1360">
        <f t="shared" si="972"/>
        <v>216</v>
      </c>
      <c r="AA1303" s="1361">
        <f t="shared" si="973"/>
        <v>0.27704943323529418</v>
      </c>
      <c r="AB1303" s="1361">
        <f t="shared" si="974"/>
        <v>0.24850526340845572</v>
      </c>
      <c r="AC1303" s="1696">
        <f t="shared" si="975"/>
        <v>0.1530398322851152</v>
      </c>
      <c r="AD1303" s="1669">
        <f t="shared" si="976"/>
        <v>0.32109282319286619</v>
      </c>
      <c r="AE1303" s="261">
        <f t="shared" si="977"/>
        <v>2.8065400888737693</v>
      </c>
      <c r="AF1303" s="1359">
        <f>(V1303/(1-$AB$1300))</f>
        <v>2.5405069444444446</v>
      </c>
      <c r="AG1303" s="1896">
        <v>4.62</v>
      </c>
      <c r="AH1303" s="1361">
        <f t="shared" si="978"/>
        <v>0.28000000000000008</v>
      </c>
      <c r="AI1303" s="92">
        <f t="shared" ref="AI1303:AI1308" si="987">AJ1303/$AJ$1309</f>
        <v>0.26120218579234972</v>
      </c>
      <c r="AJ1303" s="338">
        <v>239</v>
      </c>
      <c r="AK1303" s="297">
        <f t="shared" si="979"/>
        <v>62.449883083487485</v>
      </c>
      <c r="AL1303" s="866">
        <f t="shared" ref="AL1303:AL1308" si="988">AK1303/$AK$1309</f>
        <v>0.54438217488636087</v>
      </c>
      <c r="AM1303" s="92">
        <f t="shared" si="980"/>
        <v>3.0991467621048264E-3</v>
      </c>
      <c r="AN1303" s="92">
        <f t="shared" si="981"/>
        <v>6.6976772833710289E-3</v>
      </c>
      <c r="AO1303" s="13"/>
      <c r="AP1303" s="13"/>
    </row>
    <row r="1304" spans="1:42" ht="15.75">
      <c r="A1304" s="187"/>
      <c r="B1304" s="1832" t="s">
        <v>511</v>
      </c>
      <c r="C1304" s="925" t="s">
        <v>512</v>
      </c>
      <c r="D1304" s="926">
        <v>172</v>
      </c>
      <c r="E1304" s="926">
        <v>10</v>
      </c>
      <c r="F1304" s="926">
        <v>50</v>
      </c>
      <c r="G1304" s="433">
        <v>202</v>
      </c>
      <c r="H1304" s="453">
        <f t="shared" si="982"/>
        <v>216.14000000000001</v>
      </c>
      <c r="I1304" s="453">
        <f t="shared" si="983"/>
        <v>118.87700000000001</v>
      </c>
      <c r="J1304" s="1567">
        <f t="shared" si="964"/>
        <v>111.1</v>
      </c>
      <c r="K1304" s="1568">
        <v>281</v>
      </c>
      <c r="L1304" s="929">
        <v>192</v>
      </c>
      <c r="M1304" s="1008">
        <f t="shared" si="965"/>
        <v>1.1162790697674418</v>
      </c>
      <c r="N1304" s="1768">
        <f t="shared" si="984"/>
        <v>140.5</v>
      </c>
      <c r="O1304" s="1510">
        <f t="shared" si="966"/>
        <v>0.26462646264626466</v>
      </c>
      <c r="P1304" s="472">
        <f t="shared" si="985"/>
        <v>0.18189389032361181</v>
      </c>
      <c r="Q1304" s="1012">
        <v>2.3850831024930748</v>
      </c>
      <c r="R1304" s="496">
        <f t="shared" si="967"/>
        <v>112.17761355955679</v>
      </c>
      <c r="S1304" s="1778">
        <f t="shared" si="968"/>
        <v>-9.6994919852096771E-3</v>
      </c>
      <c r="T1304" s="696">
        <f t="shared" si="986"/>
        <v>5.6355614967093882E-2</v>
      </c>
      <c r="U1304" s="1358">
        <v>1.772</v>
      </c>
      <c r="V1304" s="1359">
        <f t="shared" si="969"/>
        <v>2.3301799999999999</v>
      </c>
      <c r="W1304" s="1359">
        <f t="shared" si="970"/>
        <v>109.59535594</v>
      </c>
      <c r="X1304" s="1360">
        <f>(ROUND(W1304/(1-$AA$1300),0))</f>
        <v>135</v>
      </c>
      <c r="Y1304" s="1359">
        <f t="shared" si="971"/>
        <v>129.85</v>
      </c>
      <c r="Z1304" s="1360">
        <f t="shared" si="972"/>
        <v>245</v>
      </c>
      <c r="AA1304" s="1361">
        <f t="shared" si="973"/>
        <v>0.18818254859259256</v>
      </c>
      <c r="AB1304" s="1361">
        <f t="shared" si="974"/>
        <v>0.15598493692722365</v>
      </c>
      <c r="AC1304" s="1696">
        <f t="shared" si="975"/>
        <v>8.2017712745475535E-2</v>
      </c>
      <c r="AD1304" s="1669">
        <f t="shared" si="976"/>
        <v>0.18746029107354681</v>
      </c>
      <c r="AE1304" s="261">
        <f t="shared" si="977"/>
        <v>2.9872642612633684</v>
      </c>
      <c r="AF1304" s="1359">
        <f>(V1304/(1-$AA$1300))</f>
        <v>2.876765432098765</v>
      </c>
      <c r="AG1304" s="1896">
        <f>AF1304/(1-$X$1234)</f>
        <v>5.2304826038159362</v>
      </c>
      <c r="AH1304" s="1361">
        <f t="shared" si="978"/>
        <v>0.18999999999999992</v>
      </c>
      <c r="AI1304" s="77">
        <f t="shared" si="987"/>
        <v>0.14098360655737704</v>
      </c>
      <c r="AJ1304" s="333">
        <v>129</v>
      </c>
      <c r="AK1304" s="270">
        <f t="shared" si="979"/>
        <v>-2.9842981823330885</v>
      </c>
      <c r="AL1304" s="506">
        <f t="shared" si="988"/>
        <v>-2.6014439976389067E-2</v>
      </c>
      <c r="AM1304" s="77">
        <f t="shared" si="980"/>
        <v>1.6727612230607641E-3</v>
      </c>
      <c r="AN1304" s="77">
        <f t="shared" si="981"/>
        <v>-3.2006250701697173E-4</v>
      </c>
      <c r="AO1304" s="13"/>
      <c r="AP1304" s="13"/>
    </row>
    <row r="1305" spans="1:42" ht="15.75">
      <c r="A1305" s="187"/>
      <c r="B1305" s="1833" t="s">
        <v>552</v>
      </c>
      <c r="C1305" s="250" t="s">
        <v>553</v>
      </c>
      <c r="D1305" s="251">
        <v>228</v>
      </c>
      <c r="E1305" s="251">
        <v>5</v>
      </c>
      <c r="F1305" s="251">
        <v>40</v>
      </c>
      <c r="G1305" s="328">
        <v>260</v>
      </c>
      <c r="H1305" s="453">
        <f t="shared" si="982"/>
        <v>278.2</v>
      </c>
      <c r="I1305" s="453">
        <f t="shared" si="983"/>
        <v>153.01</v>
      </c>
      <c r="J1305" s="1045">
        <f t="shared" si="964"/>
        <v>143</v>
      </c>
      <c r="K1305" s="1094">
        <v>343</v>
      </c>
      <c r="L1305" s="322">
        <v>244</v>
      </c>
      <c r="M1305" s="335">
        <f t="shared" si="965"/>
        <v>1.0701754385964912</v>
      </c>
      <c r="N1305" s="1767">
        <f t="shared" si="984"/>
        <v>171.5</v>
      </c>
      <c r="O1305" s="469">
        <f t="shared" si="966"/>
        <v>0.19930069930069938</v>
      </c>
      <c r="P1305" s="472">
        <f t="shared" si="985"/>
        <v>0.12084177504738269</v>
      </c>
      <c r="Q1305" s="336">
        <v>2.6905476673427997</v>
      </c>
      <c r="R1305" s="382">
        <f t="shared" si="967"/>
        <v>126.5445284381339</v>
      </c>
      <c r="S1305" s="918">
        <f t="shared" si="968"/>
        <v>0.11507322770535738</v>
      </c>
      <c r="T1305" s="696">
        <f t="shared" si="986"/>
        <v>0.17296563336949283</v>
      </c>
      <c r="U1305" s="261">
        <v>2.3490000000000002</v>
      </c>
      <c r="V1305" s="1359">
        <f t="shared" si="969"/>
        <v>3.0889350000000002</v>
      </c>
      <c r="W1305" s="1359">
        <f t="shared" si="970"/>
        <v>145.281879855</v>
      </c>
      <c r="X1305" s="1360">
        <f>(ROUND(W1305/(1-$Z$1300),0))</f>
        <v>169</v>
      </c>
      <c r="Y1305" s="1359">
        <f t="shared" si="971"/>
        <v>162.71</v>
      </c>
      <c r="Z1305" s="1360">
        <f t="shared" si="972"/>
        <v>307</v>
      </c>
      <c r="AA1305" s="1361">
        <f t="shared" si="973"/>
        <v>0.14034390618343195</v>
      </c>
      <c r="AB1305" s="1361">
        <f t="shared" si="974"/>
        <v>0.10711154904431201</v>
      </c>
      <c r="AC1305" s="1696">
        <f t="shared" si="975"/>
        <v>5.4022494007743838E-2</v>
      </c>
      <c r="AD1305" s="1669">
        <f t="shared" si="976"/>
        <v>0.11757847512755094</v>
      </c>
      <c r="AE1305" s="261">
        <f t="shared" si="977"/>
        <v>3.646375948801905</v>
      </c>
      <c r="AF1305" s="1359">
        <f>(V1305/(1-$Z$1300))</f>
        <v>3.5917848837209307</v>
      </c>
      <c r="AG1305" s="1896">
        <v>6.53</v>
      </c>
      <c r="AH1305" s="1361">
        <f t="shared" si="978"/>
        <v>0.14000000000000007</v>
      </c>
      <c r="AI1305" s="77">
        <f t="shared" si="987"/>
        <v>6.1202185792349727E-2</v>
      </c>
      <c r="AJ1305" s="333">
        <v>56</v>
      </c>
      <c r="AK1305" s="270">
        <f t="shared" si="979"/>
        <v>17.338160245070345</v>
      </c>
      <c r="AL1305" s="506">
        <f t="shared" si="988"/>
        <v>0.15113855970108792</v>
      </c>
      <c r="AM1305" s="77">
        <f t="shared" si="980"/>
        <v>7.2615991078606808E-4</v>
      </c>
      <c r="AN1305" s="77">
        <f t="shared" si="981"/>
        <v>1.859497508644004E-3</v>
      </c>
      <c r="AO1305" s="13"/>
      <c r="AP1305" s="13"/>
    </row>
    <row r="1306" spans="1:42" ht="15.75">
      <c r="A1306" s="187"/>
      <c r="B1306" s="1833" t="s">
        <v>513</v>
      </c>
      <c r="C1306" s="250" t="s">
        <v>514</v>
      </c>
      <c r="D1306" s="251">
        <v>237</v>
      </c>
      <c r="E1306" s="251">
        <v>5</v>
      </c>
      <c r="F1306" s="699">
        <v>40</v>
      </c>
      <c r="G1306" s="328">
        <v>270</v>
      </c>
      <c r="H1306" s="453">
        <f t="shared" si="982"/>
        <v>288.90000000000003</v>
      </c>
      <c r="I1306" s="453">
        <f t="shared" si="983"/>
        <v>158.89500000000001</v>
      </c>
      <c r="J1306" s="1045">
        <f t="shared" si="964"/>
        <v>148.5</v>
      </c>
      <c r="K1306" s="1094">
        <v>383</v>
      </c>
      <c r="L1306" s="322">
        <v>260</v>
      </c>
      <c r="M1306" s="335">
        <f t="shared" si="965"/>
        <v>1.0970464135021096</v>
      </c>
      <c r="N1306" s="1767">
        <f t="shared" si="984"/>
        <v>191.5</v>
      </c>
      <c r="O1306" s="469">
        <f t="shared" si="966"/>
        <v>0.28956228956228958</v>
      </c>
      <c r="P1306" s="472">
        <f t="shared" si="985"/>
        <v>0.20519840146008361</v>
      </c>
      <c r="Q1306" s="336">
        <v>2.9822950819672132</v>
      </c>
      <c r="R1306" s="382">
        <f t="shared" si="967"/>
        <v>140.26628459016393</v>
      </c>
      <c r="S1306" s="918">
        <f t="shared" si="968"/>
        <v>5.5445895015731085E-2</v>
      </c>
      <c r="T1306" s="696">
        <f t="shared" si="986"/>
        <v>0.11723915422030948</v>
      </c>
      <c r="U1306" s="261">
        <v>2.4409999999999998</v>
      </c>
      <c r="V1306" s="1359">
        <f t="shared" si="969"/>
        <v>3.2099149999999996</v>
      </c>
      <c r="W1306" s="1359">
        <f t="shared" si="970"/>
        <v>150.97193219499999</v>
      </c>
      <c r="X1306" s="1360">
        <f>(ROUND(W1306/(1-$AA$1300),0))</f>
        <v>186</v>
      </c>
      <c r="Y1306" s="1359">
        <f t="shared" si="971"/>
        <v>179.14000000000001</v>
      </c>
      <c r="Z1306" s="1360">
        <f t="shared" si="972"/>
        <v>338</v>
      </c>
      <c r="AA1306" s="1361">
        <f t="shared" si="973"/>
        <v>0.18832294518817208</v>
      </c>
      <c r="AB1306" s="1361">
        <f t="shared" si="974"/>
        <v>0.1572405258736185</v>
      </c>
      <c r="AC1306" s="1696">
        <f t="shared" si="975"/>
        <v>6.8996315730713409E-2</v>
      </c>
      <c r="AD1306" s="1669">
        <f t="shared" si="976"/>
        <v>0.17878626960944305</v>
      </c>
      <c r="AE1306" s="261">
        <f t="shared" si="977"/>
        <v>4.0716092956009611</v>
      </c>
      <c r="AF1306" s="1359">
        <f>(V1306/(1-$AA$1300))</f>
        <v>3.9628580246913572</v>
      </c>
      <c r="AG1306" s="1896">
        <v>7.21</v>
      </c>
      <c r="AH1306" s="1361">
        <f t="shared" si="978"/>
        <v>0.18999999999999992</v>
      </c>
      <c r="AI1306" s="77">
        <f t="shared" si="987"/>
        <v>6.2295081967213117E-2</v>
      </c>
      <c r="AJ1306" s="333">
        <v>57</v>
      </c>
      <c r="AK1306" s="270">
        <f t="shared" si="979"/>
        <v>9.4252931411790577</v>
      </c>
      <c r="AL1306" s="506">
        <f t="shared" si="988"/>
        <v>8.2161267976708904E-2</v>
      </c>
      <c r="AM1306" s="77">
        <f t="shared" si="980"/>
        <v>7.3912705205010502E-4</v>
      </c>
      <c r="AN1306" s="77">
        <f t="shared" si="981"/>
        <v>1.0108517205131397E-3</v>
      </c>
      <c r="AO1306" s="13"/>
      <c r="AP1306" s="13"/>
    </row>
    <row r="1307" spans="1:42" ht="15.75">
      <c r="A1307" s="187"/>
      <c r="B1307" s="1833" t="s">
        <v>554</v>
      </c>
      <c r="C1307" s="250" t="s">
        <v>555</v>
      </c>
      <c r="D1307" s="251">
        <v>255</v>
      </c>
      <c r="E1307" s="251">
        <v>5</v>
      </c>
      <c r="F1307" s="699">
        <v>40</v>
      </c>
      <c r="G1307" s="328">
        <v>290</v>
      </c>
      <c r="H1307" s="453">
        <f t="shared" si="982"/>
        <v>310.3</v>
      </c>
      <c r="I1307" s="453">
        <f t="shared" si="983"/>
        <v>170.66499999999999</v>
      </c>
      <c r="J1307" s="1045">
        <f t="shared" si="964"/>
        <v>159.5</v>
      </c>
      <c r="K1307" s="1094">
        <v>422</v>
      </c>
      <c r="L1307" s="322">
        <v>270</v>
      </c>
      <c r="M1307" s="335">
        <f t="shared" si="965"/>
        <v>1.0588235294117647</v>
      </c>
      <c r="N1307" s="1767">
        <f t="shared" si="984"/>
        <v>211</v>
      </c>
      <c r="O1307" s="469">
        <f t="shared" si="966"/>
        <v>0.32288401253918497</v>
      </c>
      <c r="P1307" s="472">
        <f t="shared" si="985"/>
        <v>0.23634019863475242</v>
      </c>
      <c r="Q1307" s="336">
        <v>3.6975320296695888</v>
      </c>
      <c r="R1307" s="382">
        <f t="shared" si="967"/>
        <v>173.90602395144978</v>
      </c>
      <c r="S1307" s="918">
        <f t="shared" si="968"/>
        <v>-9.0319899382130295E-2</v>
      </c>
      <c r="T1307" s="696">
        <f t="shared" si="986"/>
        <v>-1.8990560170215279E-2</v>
      </c>
      <c r="U1307" s="261">
        <v>2.6269999999999998</v>
      </c>
      <c r="V1307" s="1359">
        <f t="shared" si="969"/>
        <v>3.4545049999999997</v>
      </c>
      <c r="W1307" s="1359">
        <f t="shared" si="970"/>
        <v>162.47573366499998</v>
      </c>
      <c r="X1307" s="1360">
        <f>(ROUND(W1307/(1-$AA$1300),0))</f>
        <v>201</v>
      </c>
      <c r="Y1307" s="1359">
        <f t="shared" si="971"/>
        <v>193.45000000000002</v>
      </c>
      <c r="Z1307" s="1360">
        <f t="shared" si="972"/>
        <v>365</v>
      </c>
      <c r="AA1307" s="1361">
        <f t="shared" si="973"/>
        <v>0.19166301659203991</v>
      </c>
      <c r="AB1307" s="1361">
        <f t="shared" si="974"/>
        <v>0.16011510124063083</v>
      </c>
      <c r="AC1307" s="1696">
        <f t="shared" si="975"/>
        <v>9.0721116567588522E-2</v>
      </c>
      <c r="AD1307" s="1669">
        <f t="shared" si="976"/>
        <v>0.19788836065857041</v>
      </c>
      <c r="AE1307" s="261">
        <f t="shared" si="977"/>
        <v>4.4862118087300402</v>
      </c>
      <c r="AF1307" s="1359">
        <f>(V1307/(1-$AA$1300))</f>
        <v>4.2648209876543204</v>
      </c>
      <c r="AG1307" s="1896">
        <v>7.75</v>
      </c>
      <c r="AH1307" s="1361">
        <f t="shared" si="978"/>
        <v>0.18999999999999995</v>
      </c>
      <c r="AI1307" s="77">
        <f t="shared" si="987"/>
        <v>7.8688524590163941E-2</v>
      </c>
      <c r="AJ1307" s="333">
        <v>72</v>
      </c>
      <c r="AK1307" s="270">
        <f t="shared" si="979"/>
        <v>-24.045171903501213</v>
      </c>
      <c r="AL1307" s="506">
        <f t="shared" si="988"/>
        <v>-0.20960428314725701</v>
      </c>
      <c r="AM1307" s="77">
        <f t="shared" si="980"/>
        <v>9.33634171010659E-4</v>
      </c>
      <c r="AN1307" s="77">
        <f t="shared" si="981"/>
        <v>-2.5788167035882591E-3</v>
      </c>
      <c r="AO1307" s="13"/>
      <c r="AP1307" s="13"/>
    </row>
    <row r="1308" spans="1:42" ht="16.5" thickBot="1">
      <c r="A1308" s="187"/>
      <c r="B1308" s="1833" t="s">
        <v>515</v>
      </c>
      <c r="C1308" s="250" t="s">
        <v>166</v>
      </c>
      <c r="D1308" s="250">
        <v>320</v>
      </c>
      <c r="E1308" s="251">
        <v>5</v>
      </c>
      <c r="F1308" s="250">
        <v>30</v>
      </c>
      <c r="G1308" s="328">
        <v>470</v>
      </c>
      <c r="H1308" s="453">
        <f t="shared" si="982"/>
        <v>502.90000000000003</v>
      </c>
      <c r="I1308" s="453">
        <f t="shared" si="983"/>
        <v>276.59500000000003</v>
      </c>
      <c r="J1308" s="1045">
        <f>G1308-G1308*$J$1279</f>
        <v>258.5</v>
      </c>
      <c r="K1308" s="1094">
        <v>622</v>
      </c>
      <c r="L1308" s="322">
        <v>444</v>
      </c>
      <c r="M1308" s="335">
        <f t="shared" si="965"/>
        <v>1.3875</v>
      </c>
      <c r="N1308" s="1767">
        <f t="shared" si="984"/>
        <v>311</v>
      </c>
      <c r="O1308" s="469">
        <f t="shared" si="966"/>
        <v>0.20309477756286265</v>
      </c>
      <c r="P1308" s="475">
        <f t="shared" si="985"/>
        <v>0.12438764258211443</v>
      </c>
      <c r="Q1308" s="336">
        <v>4.6113240418118471</v>
      </c>
      <c r="R1308" s="382">
        <f t="shared" si="967"/>
        <v>216.8844036585366</v>
      </c>
      <c r="S1308" s="918">
        <f t="shared" si="968"/>
        <v>0.1609887672783884</v>
      </c>
      <c r="T1308" s="919">
        <f t="shared" si="986"/>
        <v>0.21587735259662474</v>
      </c>
      <c r="U1308" s="261">
        <v>3.2959999999999998</v>
      </c>
      <c r="V1308" s="1359">
        <f t="shared" si="969"/>
        <v>4.3342399999999994</v>
      </c>
      <c r="W1308" s="1359">
        <f t="shared" si="970"/>
        <v>203.85230991999998</v>
      </c>
      <c r="X1308" s="1360">
        <f>(ROUND(W1308/(1-$AB$1300),0))</f>
        <v>283</v>
      </c>
      <c r="Y1308" s="1359">
        <f t="shared" si="971"/>
        <v>272.95</v>
      </c>
      <c r="Z1308" s="1360">
        <f t="shared" si="972"/>
        <v>515</v>
      </c>
      <c r="AA1308" s="1361">
        <f t="shared" si="973"/>
        <v>0.27967381653710255</v>
      </c>
      <c r="AB1308" s="1361">
        <f t="shared" si="974"/>
        <v>0.25315145660377364</v>
      </c>
      <c r="AC1308" s="1696">
        <f t="shared" si="975"/>
        <v>0.13940282102949264</v>
      </c>
      <c r="AD1308" s="1669">
        <f t="shared" si="976"/>
        <v>0.31721493193997863</v>
      </c>
      <c r="AE1308" s="261">
        <f t="shared" si="977"/>
        <v>6.6123785427253203</v>
      </c>
      <c r="AF1308" s="1359">
        <f>(V1308/(1-$AB$1300))</f>
        <v>6.0197777777777768</v>
      </c>
      <c r="AG1308" s="1896">
        <v>10.95</v>
      </c>
      <c r="AH1308" s="1361">
        <f t="shared" si="978"/>
        <v>0.27999999999999997</v>
      </c>
      <c r="AI1308" s="77">
        <f t="shared" si="987"/>
        <v>9.8360655737704916E-2</v>
      </c>
      <c r="AJ1308" s="333">
        <v>90</v>
      </c>
      <c r="AK1308" s="270">
        <f t="shared" si="979"/>
        <v>66.813423571123636</v>
      </c>
      <c r="AL1308" s="506">
        <f t="shared" si="988"/>
        <v>0.58241961456720714</v>
      </c>
      <c r="AM1308" s="77">
        <f t="shared" si="980"/>
        <v>1.1670427137633237E-3</v>
      </c>
      <c r="AN1308" s="77">
        <f t="shared" si="981"/>
        <v>7.1656619225102169E-3</v>
      </c>
      <c r="AO1308" s="13"/>
      <c r="AP1308" s="13"/>
    </row>
    <row r="1309" spans="1:42" ht="19.5" thickBot="1">
      <c r="A1309" s="149" t="s">
        <v>164</v>
      </c>
      <c r="J1309" s="532"/>
      <c r="K1309" s="533"/>
      <c r="N1309" s="1756"/>
      <c r="P1309" s="1325"/>
      <c r="Q1309" s="1091"/>
      <c r="R1309" s="1092"/>
      <c r="S1309" s="1092"/>
      <c r="T1309" s="888"/>
      <c r="U1309" s="889"/>
      <c r="V1309" s="889"/>
      <c r="W1309" s="889"/>
      <c r="X1309" s="889"/>
      <c r="Y1309" s="889"/>
      <c r="Z1309" s="889"/>
      <c r="AA1309" s="890"/>
      <c r="AB1309" s="890"/>
      <c r="AC1309" s="890"/>
      <c r="AD1309" s="890">
        <f>AVERAGE(AD1302:AD1308)</f>
        <v>0.19005511958993848</v>
      </c>
      <c r="AE1309" s="889"/>
      <c r="AF1309" s="889"/>
      <c r="AG1309" s="1883"/>
      <c r="AH1309" s="890"/>
      <c r="AI1309" s="512">
        <f>S1302*AI1302+S1303*AI1303+S1304*AI1304+S1305*AI1305+S1306*AI1306+S1307*AI1307+S1308*AI1308</f>
        <v>4.2018667411306485E-2</v>
      </c>
      <c r="AJ1309" s="513">
        <f>SUM(AJ1302:AJ1308)</f>
        <v>915</v>
      </c>
      <c r="AK1309" s="514">
        <f>SUM(AK1302:AK1308)</f>
        <v>114.71698737476815</v>
      </c>
      <c r="AM1309" s="307">
        <f>SUM(AM1302:AM1308)</f>
        <v>1.1864934256593792E-2</v>
      </c>
      <c r="AN1309" s="307">
        <f>SUM(AN1302:AN1308)</f>
        <v>1.230326339169566E-2</v>
      </c>
      <c r="AO1309" s="13"/>
      <c r="AP1309" s="13"/>
    </row>
    <row r="1310" spans="1:42" ht="15.75" thickBot="1">
      <c r="A1310" s="187"/>
      <c r="B1310" s="157"/>
      <c r="C1310" s="157" t="s">
        <v>165</v>
      </c>
      <c r="J1310" s="532"/>
      <c r="K1310" s="1850" t="s">
        <v>1492</v>
      </c>
      <c r="L1310" s="1850"/>
      <c r="M1310" s="1850"/>
      <c r="N1310" s="898"/>
      <c r="O1310" s="899"/>
      <c r="P1310" s="459"/>
      <c r="U1310" s="309"/>
      <c r="V1310" s="309"/>
      <c r="W1310" s="309"/>
      <c r="X1310" s="309"/>
      <c r="Y1310" s="309"/>
      <c r="Z1310" s="346">
        <v>0.11</v>
      </c>
      <c r="AA1310" s="346">
        <v>0.19</v>
      </c>
      <c r="AB1310" s="628">
        <v>0.15</v>
      </c>
      <c r="AC1310" s="628">
        <v>0.23</v>
      </c>
      <c r="AD1310" s="585"/>
      <c r="AE1310" s="188"/>
      <c r="AF1310" s="188"/>
      <c r="AG1310" s="1866"/>
      <c r="AH1310" s="1851"/>
      <c r="AO1310" s="13"/>
      <c r="AP1310" s="13"/>
    </row>
    <row r="1311" spans="1:42" ht="60.75" thickBot="1">
      <c r="A1311" s="187"/>
      <c r="B1311" s="189" t="s">
        <v>10</v>
      </c>
      <c r="C1311" s="190" t="s">
        <v>11</v>
      </c>
      <c r="D1311" s="190" t="s">
        <v>12</v>
      </c>
      <c r="E1311" s="190" t="s">
        <v>13</v>
      </c>
      <c r="F1311" s="190" t="s">
        <v>14</v>
      </c>
      <c r="G1311" s="191" t="s">
        <v>15</v>
      </c>
      <c r="H1311" s="347" t="s">
        <v>1090</v>
      </c>
      <c r="I1311" s="347">
        <f>$C$22</f>
        <v>0.45</v>
      </c>
      <c r="J1311" s="873">
        <f>$C$22</f>
        <v>0.45</v>
      </c>
      <c r="K1311" s="601" t="s">
        <v>15</v>
      </c>
      <c r="L1311" s="315" t="s">
        <v>12</v>
      </c>
      <c r="M1311" s="316" t="s">
        <v>1091</v>
      </c>
      <c r="N1311" s="605" t="s">
        <v>993</v>
      </c>
      <c r="O1311" s="317" t="s">
        <v>1092</v>
      </c>
      <c r="P1311" s="602" t="s">
        <v>1092</v>
      </c>
      <c r="Q1311" s="875" t="s">
        <v>1093</v>
      </c>
      <c r="R1311" s="876" t="s">
        <v>1094</v>
      </c>
      <c r="S1311" s="1126" t="s">
        <v>1095</v>
      </c>
      <c r="T1311" s="1376" t="s">
        <v>1095</v>
      </c>
      <c r="U1311" s="204" t="s">
        <v>1096</v>
      </c>
      <c r="V1311" s="205" t="s">
        <v>1093</v>
      </c>
      <c r="W1311" s="206" t="s">
        <v>1094</v>
      </c>
      <c r="X1311" s="207" t="s">
        <v>1097</v>
      </c>
      <c r="Y1311" s="208">
        <f>$X$1235</f>
        <v>0.47</v>
      </c>
      <c r="Z1311" s="207" t="s">
        <v>1098</v>
      </c>
      <c r="AA1311" s="209" t="s">
        <v>1099</v>
      </c>
      <c r="AB1311" s="209" t="s">
        <v>1100</v>
      </c>
      <c r="AC1311" s="210" t="s">
        <v>1092</v>
      </c>
      <c r="AD1311" s="211" t="s">
        <v>1101</v>
      </c>
      <c r="AE1311" s="212" t="s">
        <v>1102</v>
      </c>
      <c r="AF1311" s="208" t="s">
        <v>1103</v>
      </c>
      <c r="AG1311" s="1867" t="s">
        <v>1104</v>
      </c>
      <c r="AH1311" s="213" t="s">
        <v>1105</v>
      </c>
      <c r="AI1311" s="220" t="s">
        <v>1106</v>
      </c>
      <c r="AJ1311" s="483" t="s">
        <v>1107</v>
      </c>
      <c r="AK1311" s="484" t="s">
        <v>1108</v>
      </c>
      <c r="AL1311" s="221" t="s">
        <v>1109</v>
      </c>
      <c r="AM1311" s="221" t="s">
        <v>1175</v>
      </c>
      <c r="AN1311" s="221" t="s">
        <v>1176</v>
      </c>
      <c r="AO1311" s="13"/>
      <c r="AP1311" s="13"/>
    </row>
    <row r="1312" spans="1:42" ht="15.75">
      <c r="A1312" s="271"/>
      <c r="B1312" s="1833" t="s">
        <v>516</v>
      </c>
      <c r="C1312" s="250" t="s">
        <v>508</v>
      </c>
      <c r="D1312" s="251">
        <v>109</v>
      </c>
      <c r="E1312" s="251">
        <v>10</v>
      </c>
      <c r="F1312" s="251">
        <v>100</v>
      </c>
      <c r="G1312" s="328">
        <v>126</v>
      </c>
      <c r="H1312" s="453">
        <f>G1312*(1+$H$33)</f>
        <v>134.82000000000002</v>
      </c>
      <c r="I1312" s="453">
        <f>H1312-H1312*$J$1239</f>
        <v>74.15100000000001</v>
      </c>
      <c r="J1312" s="1045">
        <f t="shared" ref="J1312:J1317" si="989">G1312-G1312*$J$1239</f>
        <v>69.3</v>
      </c>
      <c r="K1312" s="1046">
        <v>166</v>
      </c>
      <c r="L1312" s="322">
        <v>93</v>
      </c>
      <c r="M1312" s="323">
        <f t="shared" ref="M1312:M1318" si="990">L1312/D1312*100%</f>
        <v>0.85321100917431192</v>
      </c>
      <c r="N1312" s="1767">
        <f>K1312-(K1312*$O$33)</f>
        <v>83</v>
      </c>
      <c r="O1312" s="469">
        <f t="shared" ref="O1312:O1318" si="991">((N1312/J1312)-1)*100%</f>
        <v>0.1976911976911977</v>
      </c>
      <c r="P1312" s="472">
        <f>((N1312/I1312)-1)*100%</f>
        <v>0.11933756793569872</v>
      </c>
      <c r="Q1312" s="336">
        <v>1.4797552742616034</v>
      </c>
      <c r="R1312" s="382">
        <f t="shared" ref="R1312:R1318" si="992">Q1312*$R$33</f>
        <v>69.597329814345997</v>
      </c>
      <c r="S1312" s="918">
        <f t="shared" ref="S1312:S1318" si="993">((J1312-R1312)/J1312)*100%</f>
        <v>-4.2904735114862903E-3</v>
      </c>
      <c r="T1312" s="696">
        <f>((I1312-R1312)/I1312)*100%</f>
        <v>6.1410772419171859E-2</v>
      </c>
      <c r="U1312" s="1358">
        <v>1.2</v>
      </c>
      <c r="V1312" s="1359">
        <f t="shared" ref="V1312:V1318" si="994">U1312*$U$1234</f>
        <v>1.5779999999999998</v>
      </c>
      <c r="W1312" s="1359">
        <f t="shared" ref="W1312:W1318" si="995">V1312*$R$33</f>
        <v>74.218074000000001</v>
      </c>
      <c r="X1312" s="1360">
        <f>(ROUND(W1312/(1-$Z$1310),0))</f>
        <v>83</v>
      </c>
      <c r="Y1312" s="1359">
        <f t="shared" ref="Y1312:Y1318" si="996">Z1312*(1-$X$1235)</f>
        <v>80.03</v>
      </c>
      <c r="Z1312" s="1360">
        <f t="shared" ref="Z1312:Z1318" si="997">ROUND(X1312/(1-$X$1234),0)</f>
        <v>151</v>
      </c>
      <c r="AA1312" s="1361">
        <f t="shared" ref="AA1312:AA1318" si="998">((X1312-W1312)/X1312)*100%</f>
        <v>0.10580633734939757</v>
      </c>
      <c r="AB1312" s="1361">
        <f t="shared" ref="AB1312:AB1318" si="999">((Y1312-W1312)/Y1312)*100%</f>
        <v>7.2621841809321505E-2</v>
      </c>
      <c r="AC1312" s="1696">
        <f t="shared" ref="AC1312:AC1318" si="1000">((N1312/Y1312)-1)*100%</f>
        <v>3.7111083343746021E-2</v>
      </c>
      <c r="AD1312" s="1669">
        <f t="shared" ref="AD1312:AD1318" si="1001">((N1312*0.96-W1312)/(N1312*0.96))*100%</f>
        <v>6.8548268072289059E-2</v>
      </c>
      <c r="AE1312" s="261">
        <f t="shared" ref="AE1312:AE1318" si="1002">N1312/$R$33</f>
        <v>1.7647183892160823</v>
      </c>
      <c r="AF1312" s="1359">
        <f>(V1312/(1-$Z$1310))</f>
        <v>1.7730337078651683</v>
      </c>
      <c r="AG1312" s="1896">
        <v>3.22</v>
      </c>
      <c r="AH1312" s="1361">
        <f t="shared" ref="AH1312:AH1318" si="1003">((AF1312-V1312)/AF1312)*100%</f>
        <v>0.10999999999999999</v>
      </c>
      <c r="AI1312" s="77">
        <f>AJ1312/$AJ$1319</f>
        <v>0.34283129805517865</v>
      </c>
      <c r="AJ1312" s="333">
        <v>758</v>
      </c>
      <c r="AK1312" s="270">
        <f t="shared" ref="AK1312:AK1318" si="1004">Q1312*S1312*AJ1312</f>
        <v>-4.8124289122377668</v>
      </c>
      <c r="AL1312" s="506">
        <f>AK1312/$AK$1319</f>
        <v>-1.2659242106833205E-2</v>
      </c>
      <c r="AM1312" s="77">
        <f>AJ1312/$AJ$1359</f>
        <v>9.8290930781399933E-3</v>
      </c>
      <c r="AN1312" s="77">
        <f>AK1312/$AK$1359</f>
        <v>-5.161274002745956E-4</v>
      </c>
      <c r="AO1312" s="13"/>
      <c r="AP1312" s="13"/>
    </row>
    <row r="1313" spans="1:42" ht="15.75">
      <c r="A1313" s="187"/>
      <c r="B1313" s="1833" t="s">
        <v>517</v>
      </c>
      <c r="C1313" s="250" t="s">
        <v>510</v>
      </c>
      <c r="D1313" s="251">
        <v>158</v>
      </c>
      <c r="E1313" s="251">
        <v>10</v>
      </c>
      <c r="F1313" s="251">
        <v>100</v>
      </c>
      <c r="G1313" s="328">
        <v>186</v>
      </c>
      <c r="H1313" s="453">
        <f t="shared" ref="H1313:H1318" si="1005">G1313*(1+$H$33)</f>
        <v>199.02</v>
      </c>
      <c r="I1313" s="453">
        <f t="shared" ref="I1313:I1318" si="1006">H1313-H1313*$J$1239</f>
        <v>109.461</v>
      </c>
      <c r="J1313" s="1045">
        <f t="shared" si="989"/>
        <v>102.3</v>
      </c>
      <c r="K1313" s="1046">
        <v>247</v>
      </c>
      <c r="L1313" s="322">
        <v>173</v>
      </c>
      <c r="M1313" s="323">
        <f t="shared" si="990"/>
        <v>1.0949367088607596</v>
      </c>
      <c r="N1313" s="1767">
        <f t="shared" ref="N1313:N1318" si="1007">K1313-(K1313*$O$33)</f>
        <v>123.5</v>
      </c>
      <c r="O1313" s="469">
        <f t="shared" si="991"/>
        <v>0.20723362658846534</v>
      </c>
      <c r="P1313" s="472">
        <f t="shared" ref="P1313:P1318" si="1008">((N1313/I1313)-1)*100%</f>
        <v>0.12825572578361255</v>
      </c>
      <c r="Q1313" s="336">
        <v>1.9149450549450551</v>
      </c>
      <c r="R1313" s="382">
        <f t="shared" si="992"/>
        <v>90.065610769230773</v>
      </c>
      <c r="S1313" s="918">
        <f t="shared" si="993"/>
        <v>0.11959324761260239</v>
      </c>
      <c r="T1313" s="696">
        <f t="shared" ref="T1313:T1318" si="1009">((I1313-R1313)/I1313)*100%</f>
        <v>0.17718995103981533</v>
      </c>
      <c r="U1313" s="1358">
        <v>1.6279999999999999</v>
      </c>
      <c r="V1313" s="1359">
        <f t="shared" si="994"/>
        <v>2.1408199999999997</v>
      </c>
      <c r="W1313" s="1359">
        <f t="shared" si="995"/>
        <v>100.68918705999999</v>
      </c>
      <c r="X1313" s="1360">
        <f>(ROUND(W1313/(1-$AB$1310),0))</f>
        <v>118</v>
      </c>
      <c r="Y1313" s="1359">
        <f t="shared" si="996"/>
        <v>113.95</v>
      </c>
      <c r="Z1313" s="1360">
        <f t="shared" si="997"/>
        <v>215</v>
      </c>
      <c r="AA1313" s="1361">
        <f t="shared" si="998"/>
        <v>0.14670180457627124</v>
      </c>
      <c r="AB1313" s="1361">
        <f t="shared" si="999"/>
        <v>0.11637396173760428</v>
      </c>
      <c r="AC1313" s="1696">
        <f t="shared" si="1000"/>
        <v>8.3808688021061784E-2</v>
      </c>
      <c r="AD1313" s="1669">
        <f t="shared" si="1001"/>
        <v>0.15073222790148455</v>
      </c>
      <c r="AE1313" s="261">
        <f t="shared" si="1002"/>
        <v>2.6258159164841706</v>
      </c>
      <c r="AF1313" s="1359">
        <f>(V1313/(1-$AB$1310))</f>
        <v>2.5186117647058821</v>
      </c>
      <c r="AG1313" s="1896">
        <v>4.58</v>
      </c>
      <c r="AH1313" s="1361">
        <f t="shared" si="1003"/>
        <v>0.15000000000000002</v>
      </c>
      <c r="AI1313" s="77">
        <f t="shared" ref="AI1313:AI1318" si="1010">AJ1313/$AJ$1319</f>
        <v>0.1112618724559023</v>
      </c>
      <c r="AJ1313" s="333">
        <v>246</v>
      </c>
      <c r="AK1313" s="270">
        <f t="shared" si="1004"/>
        <v>56.33756653766082</v>
      </c>
      <c r="AL1313" s="506">
        <f t="shared" ref="AL1313:AL1318" si="1011">AK1313/$AK$1319</f>
        <v>0.14819769964735777</v>
      </c>
      <c r="AM1313" s="77">
        <f t="shared" ref="AM1313:AM1318" si="1012">AJ1313/$AJ$1359</f>
        <v>3.189916750953085E-3</v>
      </c>
      <c r="AN1313" s="77">
        <f t="shared" ref="AN1313:AN1318" si="1013">AK1313/$AK$1359</f>
        <v>6.0421384471649325E-3</v>
      </c>
      <c r="AO1313" s="13"/>
      <c r="AP1313" s="13"/>
    </row>
    <row r="1314" spans="1:42" ht="15.75">
      <c r="A1314" s="187"/>
      <c r="B1314" s="1833" t="s">
        <v>518</v>
      </c>
      <c r="C1314" s="250" t="s">
        <v>512</v>
      </c>
      <c r="D1314" s="251">
        <v>155</v>
      </c>
      <c r="E1314" s="251">
        <v>5</v>
      </c>
      <c r="F1314" s="251">
        <v>50</v>
      </c>
      <c r="G1314" s="328">
        <v>190</v>
      </c>
      <c r="H1314" s="453">
        <f t="shared" si="1005"/>
        <v>203.3</v>
      </c>
      <c r="I1314" s="453">
        <f t="shared" si="1006"/>
        <v>111.815</v>
      </c>
      <c r="J1314" s="1045">
        <f t="shared" si="989"/>
        <v>104.5</v>
      </c>
      <c r="K1314" s="1046">
        <v>252</v>
      </c>
      <c r="L1314" s="322">
        <v>171</v>
      </c>
      <c r="M1314" s="335">
        <f t="shared" si="990"/>
        <v>1.1032258064516129</v>
      </c>
      <c r="N1314" s="1767">
        <f t="shared" si="1007"/>
        <v>126</v>
      </c>
      <c r="O1314" s="469">
        <f t="shared" si="991"/>
        <v>0.20574162679425845</v>
      </c>
      <c r="P1314" s="472">
        <f t="shared" si="1008"/>
        <v>0.12686133345257788</v>
      </c>
      <c r="Q1314" s="336">
        <v>2.1946307237813887</v>
      </c>
      <c r="R1314" s="382">
        <f t="shared" si="992"/>
        <v>103.22006683161005</v>
      </c>
      <c r="S1314" s="918">
        <f t="shared" si="993"/>
        <v>1.2248164290812874E-2</v>
      </c>
      <c r="T1314" s="696">
        <f t="shared" si="1009"/>
        <v>7.6867443262441923E-2</v>
      </c>
      <c r="U1314" s="1358">
        <v>1.5449999999999999</v>
      </c>
      <c r="V1314" s="1359">
        <f t="shared" si="994"/>
        <v>2.0316749999999999</v>
      </c>
      <c r="W1314" s="1359">
        <f t="shared" si="995"/>
        <v>95.555770275</v>
      </c>
      <c r="X1314" s="1360">
        <f>(ROUND(W1314/(1-$AA$1310),0))</f>
        <v>118</v>
      </c>
      <c r="Y1314" s="1359">
        <f t="shared" si="996"/>
        <v>113.95</v>
      </c>
      <c r="Z1314" s="1360">
        <f t="shared" si="997"/>
        <v>215</v>
      </c>
      <c r="AA1314" s="1361">
        <f t="shared" si="998"/>
        <v>0.19020533665254236</v>
      </c>
      <c r="AB1314" s="1361">
        <f t="shared" si="999"/>
        <v>0.16142369218955685</v>
      </c>
      <c r="AC1314" s="1696">
        <f t="shared" si="1000"/>
        <v>0.10574813514699422</v>
      </c>
      <c r="AD1314" s="1669">
        <f t="shared" si="1001"/>
        <v>0.21002174045138886</v>
      </c>
      <c r="AE1314" s="261">
        <f t="shared" si="1002"/>
        <v>2.6789700848340527</v>
      </c>
      <c r="AF1314" s="1359">
        <f>(V1314/(1-$AA$1310))</f>
        <v>2.5082407407407405</v>
      </c>
      <c r="AG1314" s="1896">
        <f>AF1314/(1-$X$1234)</f>
        <v>4.5604377104377098</v>
      </c>
      <c r="AH1314" s="1361">
        <f t="shared" si="1003"/>
        <v>0.18999999999999997</v>
      </c>
      <c r="AI1314" s="77">
        <f t="shared" si="1010"/>
        <v>6.5581184984170066E-2</v>
      </c>
      <c r="AJ1314" s="333">
        <v>145</v>
      </c>
      <c r="AK1314" s="270">
        <f t="shared" si="1004"/>
        <v>3.8976286610683024</v>
      </c>
      <c r="AL1314" s="506">
        <f t="shared" si="1011"/>
        <v>1.0252831940545453E-2</v>
      </c>
      <c r="AM1314" s="77">
        <f t="shared" si="1012"/>
        <v>1.8802354832853549E-3</v>
      </c>
      <c r="AN1314" s="77">
        <f t="shared" si="1013"/>
        <v>4.1801613795423588E-4</v>
      </c>
      <c r="AO1314" s="13"/>
      <c r="AP1314" s="13"/>
    </row>
    <row r="1315" spans="1:42" ht="15.75">
      <c r="A1315" s="187"/>
      <c r="B1315" s="1833" t="s">
        <v>556</v>
      </c>
      <c r="C1315" s="250" t="s">
        <v>553</v>
      </c>
      <c r="D1315" s="251">
        <v>168</v>
      </c>
      <c r="E1315" s="251">
        <v>5</v>
      </c>
      <c r="F1315" s="251">
        <v>40</v>
      </c>
      <c r="G1315" s="328">
        <v>240</v>
      </c>
      <c r="H1315" s="453">
        <f t="shared" si="1005"/>
        <v>256.8</v>
      </c>
      <c r="I1315" s="453">
        <f t="shared" si="1006"/>
        <v>141.24</v>
      </c>
      <c r="J1315" s="1045">
        <f t="shared" si="989"/>
        <v>132</v>
      </c>
      <c r="K1315" s="1046">
        <v>329</v>
      </c>
      <c r="L1315" s="322">
        <v>196</v>
      </c>
      <c r="M1315" s="335">
        <f t="shared" si="990"/>
        <v>1.1666666666666667</v>
      </c>
      <c r="N1315" s="1767">
        <f t="shared" si="1007"/>
        <v>164.5</v>
      </c>
      <c r="O1315" s="469">
        <f t="shared" si="991"/>
        <v>0.2462121212121211</v>
      </c>
      <c r="P1315" s="472">
        <f t="shared" si="1008"/>
        <v>0.16468422543188899</v>
      </c>
      <c r="Q1315" s="336">
        <v>2.4335649546827796</v>
      </c>
      <c r="R1315" s="382">
        <f t="shared" si="992"/>
        <v>114.45786051359518</v>
      </c>
      <c r="S1315" s="918">
        <f t="shared" si="993"/>
        <v>0.13289499610912744</v>
      </c>
      <c r="T1315" s="696">
        <f t="shared" si="1009"/>
        <v>0.18962149169077336</v>
      </c>
      <c r="U1315" s="261">
        <v>1.7310000000000001</v>
      </c>
      <c r="V1315" s="1359">
        <f t="shared" si="994"/>
        <v>2.276265</v>
      </c>
      <c r="W1315" s="1359">
        <f t="shared" si="995"/>
        <v>107.059571745</v>
      </c>
      <c r="X1315" s="1360">
        <f>(ROUND(W1315/(1-$AC$1310),0))</f>
        <v>139</v>
      </c>
      <c r="Y1315" s="1359">
        <f t="shared" si="996"/>
        <v>134.09</v>
      </c>
      <c r="Z1315" s="1360">
        <f t="shared" si="997"/>
        <v>253</v>
      </c>
      <c r="AA1315" s="1361">
        <f t="shared" si="998"/>
        <v>0.22978725363309352</v>
      </c>
      <c r="AB1315" s="1361">
        <f t="shared" si="999"/>
        <v>0.2015842214557387</v>
      </c>
      <c r="AC1315" s="1696">
        <f t="shared" si="1000"/>
        <v>0.2267879782235811</v>
      </c>
      <c r="AD1315" s="1669">
        <f t="shared" si="1001"/>
        <v>0.32206451529255314</v>
      </c>
      <c r="AE1315" s="261">
        <f t="shared" si="1002"/>
        <v>3.4975442774222354</v>
      </c>
      <c r="AF1315" s="1359">
        <f>(V1315/(1-$AC$1310))</f>
        <v>2.9561883116883116</v>
      </c>
      <c r="AG1315" s="1896">
        <v>5.38</v>
      </c>
      <c r="AH1315" s="1361">
        <f t="shared" si="1003"/>
        <v>0.22999999999999998</v>
      </c>
      <c r="AI1315" s="92">
        <f t="shared" si="1010"/>
        <v>0.39936680235187699</v>
      </c>
      <c r="AJ1315" s="338">
        <v>883</v>
      </c>
      <c r="AK1315" s="297">
        <f t="shared" si="1004"/>
        <v>285.56979837736327</v>
      </c>
      <c r="AL1315" s="866">
        <f t="shared" si="1011"/>
        <v>0.75120012824824778</v>
      </c>
      <c r="AM1315" s="92">
        <f t="shared" si="1012"/>
        <v>1.144998573614461E-2</v>
      </c>
      <c r="AN1315" s="92">
        <f t="shared" si="1013"/>
        <v>3.0627028538259025E-2</v>
      </c>
      <c r="AO1315" s="13"/>
      <c r="AP1315" s="13"/>
    </row>
    <row r="1316" spans="1:42" ht="15.75">
      <c r="A1316" s="187"/>
      <c r="B1316" s="1833" t="s">
        <v>519</v>
      </c>
      <c r="C1316" s="250" t="s">
        <v>514</v>
      </c>
      <c r="D1316" s="251">
        <v>180</v>
      </c>
      <c r="E1316" s="251">
        <v>5</v>
      </c>
      <c r="F1316" s="699">
        <v>40</v>
      </c>
      <c r="G1316" s="328">
        <v>244</v>
      </c>
      <c r="H1316" s="453">
        <f t="shared" si="1005"/>
        <v>261.08000000000004</v>
      </c>
      <c r="I1316" s="453">
        <f t="shared" si="1006"/>
        <v>143.59400000000002</v>
      </c>
      <c r="J1316" s="1045">
        <f t="shared" si="989"/>
        <v>134.19999999999999</v>
      </c>
      <c r="K1316" s="1046">
        <v>324</v>
      </c>
      <c r="L1316" s="322">
        <v>230</v>
      </c>
      <c r="M1316" s="335">
        <f t="shared" si="990"/>
        <v>1.2777777777777777</v>
      </c>
      <c r="N1316" s="1767">
        <f t="shared" si="1007"/>
        <v>162</v>
      </c>
      <c r="O1316" s="469">
        <f t="shared" si="991"/>
        <v>0.20715350223546958</v>
      </c>
      <c r="P1316" s="472">
        <f t="shared" si="1008"/>
        <v>0.12818084321071899</v>
      </c>
      <c r="Q1316" s="336">
        <v>2.7602851458885942</v>
      </c>
      <c r="R1316" s="382">
        <f t="shared" si="992"/>
        <v>129.82449126657826</v>
      </c>
      <c r="S1316" s="918">
        <f t="shared" si="993"/>
        <v>3.2604386985258756E-2</v>
      </c>
      <c r="T1316" s="696">
        <f t="shared" si="1009"/>
        <v>9.5891950453513078E-2</v>
      </c>
      <c r="U1316" s="261">
        <v>1.8540000000000001</v>
      </c>
      <c r="V1316" s="1359">
        <f t="shared" si="994"/>
        <v>2.4380100000000002</v>
      </c>
      <c r="W1316" s="1359">
        <f t="shared" si="995"/>
        <v>114.66692433000001</v>
      </c>
      <c r="X1316" s="1360">
        <f>(ROUND(W1316/(1-$AC$1310),0))</f>
        <v>149</v>
      </c>
      <c r="Y1316" s="1359">
        <f t="shared" si="996"/>
        <v>143.63</v>
      </c>
      <c r="Z1316" s="1360">
        <f t="shared" si="997"/>
        <v>271</v>
      </c>
      <c r="AA1316" s="1361">
        <f t="shared" si="998"/>
        <v>0.23042332664429521</v>
      </c>
      <c r="AB1316" s="1361">
        <f t="shared" si="999"/>
        <v>0.20165059994430121</v>
      </c>
      <c r="AC1316" s="1696">
        <f t="shared" si="1000"/>
        <v>0.12789807143354448</v>
      </c>
      <c r="AD1316" s="1669">
        <f t="shared" si="1001"/>
        <v>0.26268695775462947</v>
      </c>
      <c r="AE1316" s="261">
        <f t="shared" si="1002"/>
        <v>3.4443901090723532</v>
      </c>
      <c r="AF1316" s="1359">
        <f>(V1316/(1-$AC$1310))</f>
        <v>3.1662467532467535</v>
      </c>
      <c r="AG1316" s="1896">
        <v>5.76</v>
      </c>
      <c r="AH1316" s="1361">
        <f t="shared" si="1003"/>
        <v>0.22999999999999998</v>
      </c>
      <c r="AI1316" s="77">
        <f t="shared" si="1010"/>
        <v>4.3871551334237903E-2</v>
      </c>
      <c r="AJ1316" s="333">
        <v>97</v>
      </c>
      <c r="AK1316" s="270">
        <f t="shared" si="1004"/>
        <v>8.7297482933626753</v>
      </c>
      <c r="AL1316" s="506">
        <f t="shared" si="1011"/>
        <v>2.296387109144939E-2</v>
      </c>
      <c r="AM1316" s="77">
        <f t="shared" si="1012"/>
        <v>1.2578127026115823E-3</v>
      </c>
      <c r="AN1316" s="77">
        <f t="shared" si="1013"/>
        <v>9.3625534503942291E-4</v>
      </c>
      <c r="AO1316" s="13"/>
      <c r="AP1316" s="13"/>
    </row>
    <row r="1317" spans="1:42" ht="15.75">
      <c r="A1317" s="187"/>
      <c r="B1317" s="1833" t="s">
        <v>557</v>
      </c>
      <c r="C1317" s="250" t="s">
        <v>555</v>
      </c>
      <c r="D1317" s="251">
        <v>241</v>
      </c>
      <c r="E1317" s="251">
        <v>5</v>
      </c>
      <c r="F1317" s="699">
        <v>40</v>
      </c>
      <c r="G1317" s="328">
        <v>280</v>
      </c>
      <c r="H1317" s="453">
        <f t="shared" si="1005"/>
        <v>299.60000000000002</v>
      </c>
      <c r="I1317" s="453">
        <f t="shared" si="1006"/>
        <v>164.78</v>
      </c>
      <c r="J1317" s="1045">
        <f t="shared" si="989"/>
        <v>154</v>
      </c>
      <c r="K1317" s="1046">
        <v>373</v>
      </c>
      <c r="L1317" s="322">
        <v>267</v>
      </c>
      <c r="M1317" s="335">
        <f t="shared" si="990"/>
        <v>1.107883817427386</v>
      </c>
      <c r="N1317" s="1767">
        <f t="shared" si="1007"/>
        <v>186.5</v>
      </c>
      <c r="O1317" s="469">
        <f t="shared" si="991"/>
        <v>0.21103896103896114</v>
      </c>
      <c r="P1317" s="472">
        <f t="shared" si="1008"/>
        <v>0.13181211312052432</v>
      </c>
      <c r="Q1317" s="336">
        <v>3.0667202572347265</v>
      </c>
      <c r="R1317" s="382">
        <f t="shared" si="992"/>
        <v>144.23705385852091</v>
      </c>
      <c r="S1317" s="918">
        <f t="shared" si="993"/>
        <v>6.339575416544864E-2</v>
      </c>
      <c r="T1317" s="696">
        <f t="shared" si="1009"/>
        <v>0.12466892912658752</v>
      </c>
      <c r="U1317" s="261">
        <v>2.4830000000000001</v>
      </c>
      <c r="V1317" s="1359">
        <f t="shared" si="994"/>
        <v>3.265145</v>
      </c>
      <c r="W1317" s="1359">
        <f t="shared" si="995"/>
        <v>153.56956478500001</v>
      </c>
      <c r="X1317" s="1360">
        <f>(ROUND(W1317/(1-$AB$1310),0))</f>
        <v>181</v>
      </c>
      <c r="Y1317" s="1359">
        <f t="shared" si="996"/>
        <v>174.37</v>
      </c>
      <c r="Z1317" s="1360">
        <f t="shared" si="997"/>
        <v>329</v>
      </c>
      <c r="AA1317" s="1361">
        <f t="shared" si="998"/>
        <v>0.15154936582872922</v>
      </c>
      <c r="AB1317" s="1361">
        <f t="shared" si="999"/>
        <v>0.11928907045363303</v>
      </c>
      <c r="AC1317" s="1696">
        <f t="shared" si="1000"/>
        <v>6.9564718701611516E-2</v>
      </c>
      <c r="AD1317" s="1669">
        <f t="shared" si="1001"/>
        <v>0.14226114396224296</v>
      </c>
      <c r="AE1317" s="261">
        <f t="shared" si="1002"/>
        <v>3.9653009589011967</v>
      </c>
      <c r="AF1317" s="1359">
        <f>(V1317/(1-$AB$1310))</f>
        <v>3.8413470588235294</v>
      </c>
      <c r="AG1317" s="1896">
        <v>6.98</v>
      </c>
      <c r="AH1317" s="1361">
        <f t="shared" si="1003"/>
        <v>0.15000000000000002</v>
      </c>
      <c r="AI1317" s="77">
        <f t="shared" si="1010"/>
        <v>2.3066485753052916E-2</v>
      </c>
      <c r="AJ1317" s="333">
        <v>51</v>
      </c>
      <c r="AK1317" s="270">
        <f t="shared" si="1004"/>
        <v>9.9152692196145598</v>
      </c>
      <c r="AL1317" s="506">
        <f t="shared" si="1011"/>
        <v>2.6082420310945535E-2</v>
      </c>
      <c r="AM1317" s="77">
        <f t="shared" si="1012"/>
        <v>6.6132420446588349E-4</v>
      </c>
      <c r="AN1317" s="77">
        <f t="shared" si="1013"/>
        <v>1.0634010847056308E-3</v>
      </c>
      <c r="AO1317" s="13"/>
      <c r="AP1317" s="13"/>
    </row>
    <row r="1318" spans="1:42" ht="16.5" thickBot="1">
      <c r="A1318" s="187"/>
      <c r="B1318" s="1833" t="s">
        <v>520</v>
      </c>
      <c r="C1318" s="250" t="s">
        <v>166</v>
      </c>
      <c r="D1318" s="251">
        <v>310</v>
      </c>
      <c r="E1318" s="251">
        <v>5</v>
      </c>
      <c r="F1318" s="699">
        <v>30</v>
      </c>
      <c r="G1318" s="328">
        <v>440</v>
      </c>
      <c r="H1318" s="453">
        <f t="shared" si="1005"/>
        <v>470.8</v>
      </c>
      <c r="I1318" s="453">
        <f t="shared" si="1006"/>
        <v>258.94</v>
      </c>
      <c r="J1318" s="1045">
        <f>G1318-G1318*$J$1279</f>
        <v>242</v>
      </c>
      <c r="K1318" s="1046">
        <v>561</v>
      </c>
      <c r="L1318" s="322">
        <v>395</v>
      </c>
      <c r="M1318" s="335">
        <f t="shared" si="990"/>
        <v>1.2741935483870968</v>
      </c>
      <c r="N1318" s="1767">
        <f t="shared" si="1007"/>
        <v>280.5</v>
      </c>
      <c r="O1318" s="469">
        <f t="shared" si="991"/>
        <v>0.15909090909090917</v>
      </c>
      <c r="P1318" s="475">
        <f t="shared" si="1008"/>
        <v>8.3262531860662792E-2</v>
      </c>
      <c r="Q1318" s="336">
        <v>4.3653520208604952</v>
      </c>
      <c r="R1318" s="382">
        <f t="shared" si="992"/>
        <v>205.31560159713169</v>
      </c>
      <c r="S1318" s="918">
        <f t="shared" si="993"/>
        <v>0.15158842315234838</v>
      </c>
      <c r="T1318" s="919">
        <f t="shared" si="1009"/>
        <v>0.20709198425453121</v>
      </c>
      <c r="U1318" s="261">
        <v>3.1909999999999998</v>
      </c>
      <c r="V1318" s="1359">
        <f t="shared" si="994"/>
        <v>4.1961649999999997</v>
      </c>
      <c r="W1318" s="1359">
        <f t="shared" si="995"/>
        <v>197.35822844499998</v>
      </c>
      <c r="X1318" s="1360">
        <f>(ROUND(W1318/(1-$AC$1310),0))</f>
        <v>256</v>
      </c>
      <c r="Y1318" s="1359">
        <f t="shared" si="996"/>
        <v>246.45000000000002</v>
      </c>
      <c r="Z1318" s="1360">
        <f t="shared" si="997"/>
        <v>465</v>
      </c>
      <c r="AA1318" s="1361">
        <f t="shared" si="998"/>
        <v>0.22906942013671883</v>
      </c>
      <c r="AB1318" s="1361">
        <f t="shared" si="999"/>
        <v>0.19919566465814581</v>
      </c>
      <c r="AC1318" s="1696">
        <f t="shared" si="1000"/>
        <v>0.13816189896530728</v>
      </c>
      <c r="AD1318" s="1669">
        <f t="shared" si="1001"/>
        <v>0.2670891694704397</v>
      </c>
      <c r="AE1318" s="261">
        <f t="shared" si="1002"/>
        <v>5.9638976888567603</v>
      </c>
      <c r="AF1318" s="1359">
        <f>(V1318/(1-$AC$1310))</f>
        <v>5.4495649350649344</v>
      </c>
      <c r="AG1318" s="1896">
        <v>9.91</v>
      </c>
      <c r="AH1318" s="1361">
        <f t="shared" si="1003"/>
        <v>0.22999999999999995</v>
      </c>
      <c r="AI1318" s="77">
        <f t="shared" si="1010"/>
        <v>1.4020805065581185E-2</v>
      </c>
      <c r="AJ1318" s="333">
        <v>31</v>
      </c>
      <c r="AK1318" s="270">
        <f t="shared" si="1004"/>
        <v>20.513841709761959</v>
      </c>
      <c r="AL1318" s="506">
        <f t="shared" si="1011"/>
        <v>5.3962290868287306E-2</v>
      </c>
      <c r="AM1318" s="77">
        <f t="shared" si="1012"/>
        <v>4.0198137918514486E-4</v>
      </c>
      <c r="AN1318" s="77">
        <f t="shared" si="1013"/>
        <v>2.2000856499677052E-3</v>
      </c>
      <c r="AO1318" s="13"/>
      <c r="AP1318" s="13"/>
    </row>
    <row r="1319" spans="1:42" ht="15.75" thickBot="1">
      <c r="A1319" s="187"/>
      <c r="B1319" s="412"/>
      <c r="C1319" s="413"/>
      <c r="D1319" s="414"/>
      <c r="E1319" s="414"/>
      <c r="F1319" s="2"/>
      <c r="G1319" s="415"/>
      <c r="H1319" s="416"/>
      <c r="I1319" s="416"/>
      <c r="J1319" s="1042"/>
      <c r="K1319" s="779"/>
      <c r="L1319" s="779"/>
      <c r="M1319" s="816"/>
      <c r="N1319" s="1771"/>
      <c r="O1319" s="817"/>
      <c r="P1319" s="886"/>
      <c r="Q1319" s="1091"/>
      <c r="R1319" s="1092"/>
      <c r="S1319" s="1092"/>
      <c r="T1319" s="365"/>
      <c r="U1319" s="366"/>
      <c r="V1319" s="366"/>
      <c r="W1319" s="366"/>
      <c r="X1319" s="366"/>
      <c r="Y1319" s="366"/>
      <c r="Z1319" s="366"/>
      <c r="AA1319" s="367"/>
      <c r="AB1319" s="367"/>
      <c r="AC1319" s="367"/>
      <c r="AD1319" s="367">
        <f>AVERAGE(AD1312:AD1318)</f>
        <v>0.2033434318435754</v>
      </c>
      <c r="AE1319" s="366"/>
      <c r="AF1319" s="366"/>
      <c r="AG1319" s="1872"/>
      <c r="AH1319" s="367"/>
      <c r="AI1319" s="512">
        <f>S1312*AI1312+S1313*AI1313+S1314*AI1314+S1315*AI1315+S1316*AI1316+S1317*AI1317+S1318*AI1318</f>
        <v>7.0730472860810384E-2</v>
      </c>
      <c r="AJ1319" s="513">
        <f>SUM(AJ1312:AJ1318)</f>
        <v>2211</v>
      </c>
      <c r="AK1319" s="514">
        <f>SUM(AK1312:AK1318)</f>
        <v>380.15142388659382</v>
      </c>
      <c r="AM1319" s="307">
        <f>SUM(AM1312:AM1318)</f>
        <v>2.8670349334785652E-2</v>
      </c>
      <c r="AN1319" s="307">
        <f>SUM(AN1312:AN1318)</f>
        <v>4.0770797802816353E-2</v>
      </c>
      <c r="AO1319" s="13"/>
      <c r="AP1319" s="13"/>
    </row>
    <row r="1320" spans="1:42">
      <c r="A1320" s="187"/>
      <c r="B1320" s="412"/>
      <c r="C1320" s="413"/>
      <c r="D1320" s="414"/>
      <c r="E1320" s="414"/>
      <c r="F1320" s="2"/>
      <c r="G1320" s="415"/>
      <c r="H1320" s="416"/>
      <c r="I1320" s="416"/>
      <c r="J1320" s="1042"/>
      <c r="K1320" s="779"/>
      <c r="L1320" s="779"/>
      <c r="M1320" s="816"/>
      <c r="N1320" s="1771"/>
      <c r="O1320" s="817"/>
      <c r="P1320" s="817"/>
      <c r="AO1320" s="13"/>
      <c r="AP1320" s="13"/>
    </row>
    <row r="1321" spans="1:42">
      <c r="A1321" s="149" t="s">
        <v>167</v>
      </c>
      <c r="J1321" s="532"/>
      <c r="K1321" s="533"/>
      <c r="N1321" s="1756"/>
      <c r="AO1321" s="13"/>
      <c r="AP1321" s="13"/>
    </row>
    <row r="1322" spans="1:42" ht="15.75" thickBot="1">
      <c r="A1322" s="187"/>
      <c r="B1322" s="157"/>
      <c r="C1322" s="157" t="s">
        <v>168</v>
      </c>
      <c r="F1322" s="158" t="s">
        <v>1077</v>
      </c>
      <c r="J1322" s="532"/>
      <c r="K1322" s="1850" t="s">
        <v>1493</v>
      </c>
      <c r="L1322" s="1850"/>
      <c r="M1322" s="1850"/>
      <c r="N1322" s="898"/>
      <c r="O1322" s="899"/>
      <c r="P1322" s="459"/>
      <c r="U1322" s="309"/>
      <c r="V1322" s="309"/>
      <c r="W1322" s="309"/>
      <c r="X1322" s="309"/>
      <c r="Y1322" s="309"/>
      <c r="Z1322" s="309"/>
      <c r="AA1322" s="346">
        <v>0.09</v>
      </c>
      <c r="AB1322" s="628">
        <v>0.15</v>
      </c>
      <c r="AC1322" s="628">
        <v>0.12</v>
      </c>
      <c r="AD1322" s="585"/>
      <c r="AE1322" s="188"/>
      <c r="AF1322" s="188"/>
      <c r="AG1322" s="1866"/>
      <c r="AH1322" s="1851"/>
      <c r="AO1322" s="13"/>
      <c r="AP1322" s="13"/>
    </row>
    <row r="1323" spans="1:42" ht="60.75" thickBot="1">
      <c r="A1323" s="187"/>
      <c r="B1323" s="189" t="s">
        <v>10</v>
      </c>
      <c r="C1323" s="190" t="s">
        <v>11</v>
      </c>
      <c r="D1323" s="190" t="s">
        <v>12</v>
      </c>
      <c r="E1323" s="190" t="s">
        <v>13</v>
      </c>
      <c r="F1323" s="190" t="s">
        <v>14</v>
      </c>
      <c r="G1323" s="191" t="s">
        <v>15</v>
      </c>
      <c r="H1323" s="347" t="s">
        <v>1090</v>
      </c>
      <c r="I1323" s="347">
        <f>$C$22</f>
        <v>0.45</v>
      </c>
      <c r="J1323" s="873">
        <f>$C$22</f>
        <v>0.45</v>
      </c>
      <c r="K1323" s="601" t="s">
        <v>15</v>
      </c>
      <c r="L1323" s="315" t="s">
        <v>12</v>
      </c>
      <c r="M1323" s="316" t="s">
        <v>1091</v>
      </c>
      <c r="N1323" s="605" t="s">
        <v>993</v>
      </c>
      <c r="O1323" s="317" t="s">
        <v>1092</v>
      </c>
      <c r="P1323" s="602" t="s">
        <v>1092</v>
      </c>
      <c r="Q1323" s="875" t="s">
        <v>1093</v>
      </c>
      <c r="R1323" s="876" t="s">
        <v>1094</v>
      </c>
      <c r="S1323" s="1126" t="s">
        <v>1095</v>
      </c>
      <c r="T1323" s="1376" t="s">
        <v>1095</v>
      </c>
      <c r="U1323" s="204" t="s">
        <v>1096</v>
      </c>
      <c r="V1323" s="205" t="s">
        <v>1093</v>
      </c>
      <c r="W1323" s="206" t="s">
        <v>1094</v>
      </c>
      <c r="X1323" s="207" t="s">
        <v>1097</v>
      </c>
      <c r="Y1323" s="208">
        <f>$X$1235</f>
        <v>0.47</v>
      </c>
      <c r="Z1323" s="207" t="s">
        <v>1098</v>
      </c>
      <c r="AA1323" s="209" t="s">
        <v>1099</v>
      </c>
      <c r="AB1323" s="209" t="s">
        <v>1100</v>
      </c>
      <c r="AC1323" s="210" t="s">
        <v>1092</v>
      </c>
      <c r="AD1323" s="211" t="s">
        <v>1101</v>
      </c>
      <c r="AE1323" s="212" t="s">
        <v>1102</v>
      </c>
      <c r="AF1323" s="208" t="s">
        <v>1103</v>
      </c>
      <c r="AG1323" s="1867" t="s">
        <v>1104</v>
      </c>
      <c r="AH1323" s="213" t="s">
        <v>1105</v>
      </c>
      <c r="AI1323" s="220" t="s">
        <v>1106</v>
      </c>
      <c r="AJ1323" s="483" t="s">
        <v>1107</v>
      </c>
      <c r="AK1323" s="484" t="s">
        <v>1108</v>
      </c>
      <c r="AL1323" s="221" t="s">
        <v>1109</v>
      </c>
      <c r="AM1323" s="221" t="s">
        <v>1175</v>
      </c>
      <c r="AN1323" s="221" t="s">
        <v>1176</v>
      </c>
      <c r="AO1323" s="13"/>
      <c r="AP1323" s="13"/>
    </row>
    <row r="1324" spans="1:42" ht="15.75">
      <c r="A1324" s="271"/>
      <c r="B1324" s="1833" t="s">
        <v>521</v>
      </c>
      <c r="C1324" s="250">
        <v>16</v>
      </c>
      <c r="D1324" s="251">
        <v>80</v>
      </c>
      <c r="E1324" s="251">
        <v>10</v>
      </c>
      <c r="F1324" s="251">
        <v>150</v>
      </c>
      <c r="G1324" s="328">
        <v>92</v>
      </c>
      <c r="H1324" s="453">
        <f>G1324*(1+$H$33)</f>
        <v>98.440000000000012</v>
      </c>
      <c r="I1324" s="453">
        <f>H1324-H1324*$J$1239</f>
        <v>54.142000000000003</v>
      </c>
      <c r="J1324" s="1045">
        <f>G1324-G1324*$J$1239</f>
        <v>50.6</v>
      </c>
      <c r="K1324" s="1094">
        <v>122</v>
      </c>
      <c r="L1324" s="322">
        <v>65</v>
      </c>
      <c r="M1324" s="323">
        <f>L1324/D1324*100%</f>
        <v>0.8125</v>
      </c>
      <c r="N1324" s="765">
        <f>K1324-(K1324*$O$33)</f>
        <v>61</v>
      </c>
      <c r="O1324" s="469">
        <f>((N1324/J1324)-1)*100%</f>
        <v>0.20553359683794459</v>
      </c>
      <c r="P1324" s="472">
        <f>((N1324/I1324)-1)*100%</f>
        <v>0.12666691293265853</v>
      </c>
      <c r="Q1324" s="336">
        <v>1.0674636174636174</v>
      </c>
      <c r="R1324" s="382">
        <f>Q1324*$R$33</f>
        <v>50.20601632016632</v>
      </c>
      <c r="S1324" s="918">
        <f>((J1324-R1324)/J1324)*100%</f>
        <v>7.786238731890935E-3</v>
      </c>
      <c r="T1324" s="696">
        <f>((I1324-R1324)/I1324)*100%</f>
        <v>7.2697419375599023E-2</v>
      </c>
      <c r="U1324" s="1358">
        <v>0.92</v>
      </c>
      <c r="V1324" s="1359">
        <f>U1324*$U$1234</f>
        <v>1.2098</v>
      </c>
      <c r="W1324" s="1359">
        <f>V1324*$R$33</f>
        <v>56.900523400000004</v>
      </c>
      <c r="X1324" s="1360">
        <f>(ROUND(W1324/(1-$AA$1322),0))</f>
        <v>63</v>
      </c>
      <c r="Y1324" s="1359">
        <f>Z1324*(1-$X$1235)</f>
        <v>60.95</v>
      </c>
      <c r="Z1324" s="1360">
        <f>ROUND(X1324/(1-$X$1234),0)</f>
        <v>115</v>
      </c>
      <c r="AA1324" s="1361">
        <f>((X1324-W1324)/X1324)*100%</f>
        <v>9.6817088888888819E-2</v>
      </c>
      <c r="AB1324" s="1361">
        <f>((Y1324-W1324)/Y1324)*100%</f>
        <v>6.6439320754716952E-2</v>
      </c>
      <c r="AC1324" s="1696">
        <f>((N1324/Y1324)-1)*100%</f>
        <v>8.2034454470880647E-4</v>
      </c>
      <c r="AD1324" s="1669">
        <f>((N1324*0.96-W1324)/(N1324*0.96))*100%</f>
        <v>2.8338056693988915E-2</v>
      </c>
      <c r="AE1324" s="261">
        <f>N1324/$R$33</f>
        <v>1.2969617077371207</v>
      </c>
      <c r="AF1324" s="1359">
        <f>(V1324/(1-$AA$1322))</f>
        <v>1.3294505494505493</v>
      </c>
      <c r="AG1324" s="1896">
        <v>2.42</v>
      </c>
      <c r="AH1324" s="1361">
        <f>((AF1324-V1324)/AF1324)*100%</f>
        <v>8.9999999999999913E-2</v>
      </c>
      <c r="AI1324" s="1395">
        <f>AJ1324/$AJ$1328</f>
        <v>0.63480526604498078</v>
      </c>
      <c r="AJ1324" s="1765">
        <f>[1]Статистика!D186</f>
        <v>9258</v>
      </c>
      <c r="AK1324" s="1766">
        <f>Q1324*S1324*AJ1324</f>
        <v>76.948112921916973</v>
      </c>
      <c r="AL1324" s="1459">
        <f>AK1324/$AK$1328</f>
        <v>0.11941573315829138</v>
      </c>
      <c r="AM1324" s="1395">
        <f>AJ1324/$AJ$1359</f>
        <v>0.1200497938224539</v>
      </c>
      <c r="AN1324" s="1395">
        <f>AK1324/$AK$1359</f>
        <v>8.2525955609300903E-3</v>
      </c>
      <c r="AO1324" s="13"/>
      <c r="AP1324" s="13"/>
    </row>
    <row r="1325" spans="1:42" ht="15.75">
      <c r="A1325" s="187"/>
      <c r="B1325" s="1833" t="s">
        <v>522</v>
      </c>
      <c r="C1325" s="250">
        <v>20</v>
      </c>
      <c r="D1325" s="251">
        <v>97</v>
      </c>
      <c r="E1325" s="251">
        <v>10</v>
      </c>
      <c r="F1325" s="251">
        <v>100</v>
      </c>
      <c r="G1325" s="328">
        <v>138</v>
      </c>
      <c r="H1325" s="453">
        <f>G1325*(1+$H$33)</f>
        <v>147.66</v>
      </c>
      <c r="I1325" s="453">
        <f>H1325-H1325*$J$1239</f>
        <v>81.212999999999994</v>
      </c>
      <c r="J1325" s="1045">
        <f>G1325-G1325*$J$1239</f>
        <v>75.900000000000006</v>
      </c>
      <c r="K1325" s="1094">
        <v>183</v>
      </c>
      <c r="L1325" s="322">
        <v>102</v>
      </c>
      <c r="M1325" s="335">
        <f>L1325/D1325*100%</f>
        <v>1.0515463917525774</v>
      </c>
      <c r="N1325" s="765">
        <f>K1325-(K1325*$O$33)</f>
        <v>91.5</v>
      </c>
      <c r="O1325" s="469">
        <f>((N1325/J1325)-1)*100%</f>
        <v>0.20553359683794459</v>
      </c>
      <c r="P1325" s="472">
        <f>((N1325/I1325)-1)*100%</f>
        <v>0.12666691293265875</v>
      </c>
      <c r="Q1325" s="336">
        <v>1.4215297982167996</v>
      </c>
      <c r="R1325" s="382">
        <f>Q1325*$R$33</f>
        <v>66.858810999530732</v>
      </c>
      <c r="S1325" s="918">
        <f>((J1325-R1325)/J1325)*100%</f>
        <v>0.11911974967680201</v>
      </c>
      <c r="T1325" s="696">
        <f>((I1325-R1325)/I1325)*100%</f>
        <v>0.17674742960448775</v>
      </c>
      <c r="U1325" s="1358">
        <v>1.1890000000000001</v>
      </c>
      <c r="V1325" s="1359">
        <f>U1325*$U$1234</f>
        <v>1.5635350000000001</v>
      </c>
      <c r="W1325" s="1359">
        <f>V1325*$R$33</f>
        <v>73.537741655000005</v>
      </c>
      <c r="X1325" s="1360">
        <f>(ROUND(W1325/(1-$AB$1322),0))</f>
        <v>87</v>
      </c>
      <c r="Y1325" s="1359">
        <f>Z1325*(1-$X$1235)</f>
        <v>83.740000000000009</v>
      </c>
      <c r="Z1325" s="1360">
        <f>ROUND(X1325/(1-$X$1234),0)</f>
        <v>158</v>
      </c>
      <c r="AA1325" s="1361">
        <f>((X1325-W1325)/X1325)*100%</f>
        <v>0.15473860166666661</v>
      </c>
      <c r="AB1325" s="1361">
        <f>((Y1325-W1325)/Y1325)*100%</f>
        <v>0.12183255726056846</v>
      </c>
      <c r="AC1325" s="1696">
        <f>((N1325/Y1325)-1)*100%</f>
        <v>9.2667781227609103E-2</v>
      </c>
      <c r="AD1325" s="1669">
        <f>((N1325*0.96-W1325)/(N1325*0.96))*100%</f>
        <v>0.1628217024704007</v>
      </c>
      <c r="AE1325" s="261">
        <f>N1325/$R$33</f>
        <v>1.945442561605681</v>
      </c>
      <c r="AF1325" s="1359">
        <f>(V1325/(1-$AB$1322))</f>
        <v>1.8394529411764708</v>
      </c>
      <c r="AG1325" s="1896">
        <v>3.35</v>
      </c>
      <c r="AH1325" s="1361">
        <f>((AF1325-V1325)/AF1325)*100%</f>
        <v>0.15000000000000005</v>
      </c>
      <c r="AI1325" s="77">
        <f>AJ1325/$AJ$1328</f>
        <v>0.21763576522216127</v>
      </c>
      <c r="AJ1325" s="333">
        <f>[1]Статистика!D187</f>
        <v>3174</v>
      </c>
      <c r="AK1325" s="270">
        <f>Q1325*S1325*AJ1325</f>
        <v>537.46063679267593</v>
      </c>
      <c r="AL1325" s="506">
        <f>AK1325/$AK$1328</f>
        <v>0.83408485990354841</v>
      </c>
      <c r="AM1325" s="77">
        <f>AJ1325/$AJ$1359</f>
        <v>4.1157706372053217E-2</v>
      </c>
      <c r="AN1325" s="77">
        <f>AK1325/$AK$1359</f>
        <v>5.7642027815168924E-2</v>
      </c>
      <c r="AO1325" s="13"/>
      <c r="AP1325" s="13"/>
    </row>
    <row r="1326" spans="1:42" ht="15.75">
      <c r="A1326" s="187"/>
      <c r="B1326" s="1833" t="s">
        <v>523</v>
      </c>
      <c r="C1326" s="250">
        <v>26</v>
      </c>
      <c r="D1326" s="251">
        <v>175</v>
      </c>
      <c r="E1326" s="251">
        <v>5</v>
      </c>
      <c r="F1326" s="250">
        <v>60</v>
      </c>
      <c r="G1326" s="328">
        <v>200</v>
      </c>
      <c r="H1326" s="453">
        <f>G1326*(1+$H$33)</f>
        <v>214</v>
      </c>
      <c r="I1326" s="453">
        <f>H1326-H1326*$J$1239</f>
        <v>117.7</v>
      </c>
      <c r="J1326" s="1045">
        <f>G1326-G1326*$J$1239</f>
        <v>110</v>
      </c>
      <c r="K1326" s="1094">
        <v>264</v>
      </c>
      <c r="L1326" s="322">
        <v>174</v>
      </c>
      <c r="M1326" s="323">
        <f>L1326/D1326*100%</f>
        <v>0.99428571428571433</v>
      </c>
      <c r="N1326" s="765">
        <f>K1326-(K1326*$O$33)</f>
        <v>132</v>
      </c>
      <c r="O1326" s="469">
        <f>((N1326/J1326)-1)*100%</f>
        <v>0.19999999999999996</v>
      </c>
      <c r="P1326" s="472">
        <f>((N1326/I1326)-1)*100%</f>
        <v>0.12149532710280364</v>
      </c>
      <c r="Q1326" s="336">
        <v>2.1480208877284594</v>
      </c>
      <c r="R1326" s="382">
        <f>Q1326*$R$33</f>
        <v>101.02786641253263</v>
      </c>
      <c r="S1326" s="918">
        <f>((J1326-R1326)/J1326)*100%</f>
        <v>8.1564850795157892E-2</v>
      </c>
      <c r="T1326" s="696">
        <f>((I1326-R1326)/I1326)*100%</f>
        <v>0.14164939326650272</v>
      </c>
      <c r="U1326" s="1358">
        <v>1.8029999999999999</v>
      </c>
      <c r="V1326" s="1359">
        <f>U1326*$U$1234</f>
        <v>2.3709449999999999</v>
      </c>
      <c r="W1326" s="1359">
        <f>V1326*$R$33</f>
        <v>111.512656185</v>
      </c>
      <c r="X1326" s="1360">
        <f>(ROUND(W1326/(1-$AB$1322),0))</f>
        <v>131</v>
      </c>
      <c r="Y1326" s="1359">
        <f>Z1326*(1-$X$1235)</f>
        <v>126.14</v>
      </c>
      <c r="Z1326" s="1360">
        <f>ROUND(X1326/(1-$X$1234),0)</f>
        <v>238</v>
      </c>
      <c r="AA1326" s="1361">
        <f>((X1326-W1326)/X1326)*100%</f>
        <v>0.14875834973282445</v>
      </c>
      <c r="AB1326" s="1361">
        <f>((Y1326-W1326)/Y1326)*100%</f>
        <v>0.11596118451720314</v>
      </c>
      <c r="AC1326" s="1696">
        <f>((N1326/Y1326)-1)*100%</f>
        <v>4.6456318376407069E-2</v>
      </c>
      <c r="AD1326" s="1669">
        <f>((N1326*0.96-W1326)/(N1326*0.96))*100%</f>
        <v>0.12000744803503789</v>
      </c>
      <c r="AE1326" s="261">
        <f>N1326/$R$33</f>
        <v>2.8065400888737693</v>
      </c>
      <c r="AF1326" s="1359">
        <f>(V1326/(1-$AB$1322))</f>
        <v>2.7893470588235294</v>
      </c>
      <c r="AG1326" s="1896">
        <v>5.08</v>
      </c>
      <c r="AH1326" s="1361">
        <f>((AF1326-V1326)/AF1326)*100%</f>
        <v>0.15000000000000005</v>
      </c>
      <c r="AI1326" s="77">
        <f>AJ1326/$AJ$1328</f>
        <v>8.7218869994514531E-2</v>
      </c>
      <c r="AJ1326" s="333">
        <f>[1]Статистика!D188</f>
        <v>1272</v>
      </c>
      <c r="AK1326" s="270">
        <f>Q1326*S1326*AJ1326</f>
        <v>222.85822008624197</v>
      </c>
      <c r="AL1326" s="506">
        <f>AK1326/$AK$1328</f>
        <v>0.34585354638853499</v>
      </c>
      <c r="AM1326" s="77">
        <f>AJ1326/$AJ$1359</f>
        <v>1.6494203687854977E-2</v>
      </c>
      <c r="AN1326" s="77">
        <f>AK1326/$AK$1359</f>
        <v>2.390128474842244E-2</v>
      </c>
      <c r="AO1326" s="13"/>
      <c r="AP1326" s="13"/>
    </row>
    <row r="1327" spans="1:42" ht="16.5" thickBot="1">
      <c r="A1327" s="187"/>
      <c r="B1327" s="1833" t="s">
        <v>524</v>
      </c>
      <c r="C1327" s="250">
        <v>32</v>
      </c>
      <c r="D1327" s="251">
        <v>235</v>
      </c>
      <c r="E1327" s="251">
        <v>5</v>
      </c>
      <c r="F1327" s="250">
        <v>40</v>
      </c>
      <c r="G1327" s="328">
        <v>276</v>
      </c>
      <c r="H1327" s="453">
        <f>G1327*(1+$H$33)</f>
        <v>295.32</v>
      </c>
      <c r="I1327" s="453">
        <f>H1327-H1327*$J$1239</f>
        <v>162.42599999999999</v>
      </c>
      <c r="J1327" s="1045">
        <f>G1327-G1327*$J$1239</f>
        <v>151.80000000000001</v>
      </c>
      <c r="K1327" s="1094">
        <v>388</v>
      </c>
      <c r="L1327" s="322">
        <v>239</v>
      </c>
      <c r="M1327" s="335">
        <f>L1327/D1327*100%</f>
        <v>1.0170212765957447</v>
      </c>
      <c r="N1327" s="765">
        <f>K1327-(K1327*$O$33)</f>
        <v>194</v>
      </c>
      <c r="O1327" s="469">
        <f>((N1327/J1327)-1)*100%</f>
        <v>0.27799736495388649</v>
      </c>
      <c r="P1327" s="475">
        <f>((N1327/I1327)-1)*100%</f>
        <v>0.19439006070456699</v>
      </c>
      <c r="Q1327" s="336">
        <v>3.4335663786331501</v>
      </c>
      <c r="R1327" s="382">
        <f>Q1327*$R$33</f>
        <v>161.49092748625296</v>
      </c>
      <c r="S1327" s="918">
        <f>((J1327-R1327)/J1327)*100%</f>
        <v>-6.3840102017476585E-2</v>
      </c>
      <c r="T1327" s="919">
        <f>((I1327-R1327)/I1327)*100%</f>
        <v>5.7569140023581858E-3</v>
      </c>
      <c r="U1327" s="261">
        <v>2.7679999999999998</v>
      </c>
      <c r="V1327" s="1359">
        <f>U1327*$U$1234</f>
        <v>3.6399199999999996</v>
      </c>
      <c r="W1327" s="1359">
        <f>V1327*$R$33</f>
        <v>171.19635735999998</v>
      </c>
      <c r="X1327" s="1360">
        <f>(ROUND(W1327/(1-$AC$1322),0))</f>
        <v>195</v>
      </c>
      <c r="Y1327" s="1359">
        <f>Z1327*(1-$X$1235)</f>
        <v>188.15</v>
      </c>
      <c r="Z1327" s="1360">
        <f>ROUND(X1327/(1-$X$1234),0)</f>
        <v>355</v>
      </c>
      <c r="AA1327" s="1361">
        <f>((X1327-W1327)/X1327)*100%</f>
        <v>0.12206996225641037</v>
      </c>
      <c r="AB1327" s="1361">
        <f>((Y1327-W1327)/Y1327)*100%</f>
        <v>9.0107056284879222E-2</v>
      </c>
      <c r="AC1327" s="1696">
        <f>((N1327/Y1327)-1)*100%</f>
        <v>3.1092213659314361E-2</v>
      </c>
      <c r="AD1327" s="1669">
        <f>((N1327*0.96-W1327)/(N1327*0.96))*100%</f>
        <v>8.0775572594501729E-2</v>
      </c>
      <c r="AE1327" s="261">
        <f>N1327/$R$33</f>
        <v>4.1247634639508428</v>
      </c>
      <c r="AF1327" s="1359">
        <f>(V1327/(1-$AC$1322))</f>
        <v>4.1362727272727264</v>
      </c>
      <c r="AG1327" s="1896">
        <f>AF1327/(1-$X$1234)</f>
        <v>7.5204958677685925</v>
      </c>
      <c r="AH1327" s="1361">
        <f>((AF1327-V1327)/AF1327)*100%</f>
        <v>0.11999999999999991</v>
      </c>
      <c r="AI1327" s="77">
        <f>AJ1327/$AJ$1328</f>
        <v>6.0340098738343388E-2</v>
      </c>
      <c r="AJ1327" s="333">
        <f>[1]Статистика!D189</f>
        <v>880</v>
      </c>
      <c r="AK1327" s="270">
        <f>Q1327*S1327*AJ1327</f>
        <v>-192.89532054823178</v>
      </c>
      <c r="AL1327" s="506">
        <f>AK1327/$AK$1328</f>
        <v>-0.29935413945037487</v>
      </c>
      <c r="AM1327" s="77">
        <f>AJ1327/$AJ$1359</f>
        <v>1.1411084312352498E-2</v>
      </c>
      <c r="AN1327" s="77">
        <f>AK1327/$AK$1359</f>
        <v>-2.0687798642910066E-2</v>
      </c>
      <c r="AO1327" s="13"/>
      <c r="AP1327" s="13"/>
    </row>
    <row r="1328" spans="1:42" ht="16.5" thickBot="1">
      <c r="A1328" s="149" t="s">
        <v>169</v>
      </c>
      <c r="J1328" s="532"/>
      <c r="K1328" s="533"/>
      <c r="N1328" s="1756"/>
      <c r="P1328" s="1325"/>
      <c r="Q1328" s="1091"/>
      <c r="R1328" s="1092"/>
      <c r="S1328" s="1092"/>
      <c r="T1328" s="365"/>
      <c r="U1328" s="366"/>
      <c r="V1328" s="366"/>
      <c r="W1328" s="366"/>
      <c r="X1328" s="366"/>
      <c r="Y1328" s="366"/>
      <c r="Z1328" s="366"/>
      <c r="AA1328" s="367"/>
      <c r="AB1328" s="367"/>
      <c r="AC1328" s="367"/>
      <c r="AD1328" s="367">
        <f>AVERAGE(AD1324:AD1327)</f>
        <v>9.7985694948482319E-2</v>
      </c>
      <c r="AE1328" s="366"/>
      <c r="AF1328" s="366"/>
      <c r="AG1328" s="1872"/>
      <c r="AH1328" s="367"/>
      <c r="AI1328" s="512">
        <f>S1324*AI1324+S1325*AI1325+S1326*AI1326+S1327*AI1327</f>
        <v>3.4129339282095265E-2</v>
      </c>
      <c r="AJ1328" s="513">
        <f>SUM(AJ1324:AJ1327)</f>
        <v>14584</v>
      </c>
      <c r="AK1328" s="514">
        <f>SUM(AK1324:AK1327)</f>
        <v>644.37164925260311</v>
      </c>
      <c r="AL1328" s="1249"/>
      <c r="AM1328" s="307">
        <f>SUM(AM1324:AM1327)</f>
        <v>0.18911278819471458</v>
      </c>
      <c r="AN1328" s="307">
        <f>SUM(AN1324:AN1327)</f>
        <v>6.9108109481611391E-2</v>
      </c>
      <c r="AO1328" s="13"/>
      <c r="AP1328" s="13"/>
    </row>
    <row r="1329" spans="1:42" ht="15.75" thickBot="1">
      <c r="A1329" s="187"/>
      <c r="B1329" s="157"/>
      <c r="C1329" s="157" t="s">
        <v>170</v>
      </c>
      <c r="J1329" s="532"/>
      <c r="K1329" s="1850" t="s">
        <v>1494</v>
      </c>
      <c r="L1329" s="1850"/>
      <c r="M1329" s="1850"/>
      <c r="N1329" s="898"/>
      <c r="O1329" s="899"/>
      <c r="P1329" s="459"/>
      <c r="U1329" s="309"/>
      <c r="V1329" s="309"/>
      <c r="W1329" s="309"/>
      <c r="X1329" s="309"/>
      <c r="Y1329" s="309"/>
      <c r="Z1329" s="346">
        <v>0.19</v>
      </c>
      <c r="AA1329" s="346">
        <v>0.09</v>
      </c>
      <c r="AB1329" s="628">
        <v>0.14000000000000001</v>
      </c>
      <c r="AC1329" s="628"/>
      <c r="AD1329" s="585"/>
      <c r="AE1329" s="188"/>
      <c r="AF1329" s="188"/>
      <c r="AG1329" s="1866"/>
      <c r="AH1329" s="1851"/>
      <c r="AO1329" s="13"/>
      <c r="AP1329" s="13"/>
    </row>
    <row r="1330" spans="1:42" ht="60.75" thickBot="1">
      <c r="A1330" s="187"/>
      <c r="B1330" s="189" t="s">
        <v>10</v>
      </c>
      <c r="C1330" s="190" t="s">
        <v>11</v>
      </c>
      <c r="D1330" s="190" t="s">
        <v>12</v>
      </c>
      <c r="E1330" s="190" t="s">
        <v>13</v>
      </c>
      <c r="F1330" s="190" t="s">
        <v>14</v>
      </c>
      <c r="G1330" s="191" t="s">
        <v>15</v>
      </c>
      <c r="H1330" s="347" t="s">
        <v>1090</v>
      </c>
      <c r="I1330" s="347">
        <f>$C$22</f>
        <v>0.45</v>
      </c>
      <c r="J1330" s="873">
        <f>$C$22</f>
        <v>0.45</v>
      </c>
      <c r="K1330" s="601" t="s">
        <v>15</v>
      </c>
      <c r="L1330" s="315" t="s">
        <v>12</v>
      </c>
      <c r="M1330" s="316" t="s">
        <v>1091</v>
      </c>
      <c r="N1330" s="605" t="s">
        <v>993</v>
      </c>
      <c r="O1330" s="317" t="s">
        <v>1092</v>
      </c>
      <c r="P1330" s="602" t="s">
        <v>1092</v>
      </c>
      <c r="Q1330" s="875" t="s">
        <v>1093</v>
      </c>
      <c r="R1330" s="876" t="s">
        <v>1094</v>
      </c>
      <c r="S1330" s="1126" t="s">
        <v>1095</v>
      </c>
      <c r="T1330" s="1376" t="s">
        <v>1095</v>
      </c>
      <c r="U1330" s="204" t="s">
        <v>1096</v>
      </c>
      <c r="V1330" s="205" t="s">
        <v>1093</v>
      </c>
      <c r="W1330" s="206" t="s">
        <v>1094</v>
      </c>
      <c r="X1330" s="207" t="s">
        <v>1097</v>
      </c>
      <c r="Y1330" s="208">
        <f>$X$1235</f>
        <v>0.47</v>
      </c>
      <c r="Z1330" s="207" t="s">
        <v>1098</v>
      </c>
      <c r="AA1330" s="209" t="s">
        <v>1099</v>
      </c>
      <c r="AB1330" s="209" t="s">
        <v>1100</v>
      </c>
      <c r="AC1330" s="210" t="s">
        <v>1092</v>
      </c>
      <c r="AD1330" s="211" t="s">
        <v>1101</v>
      </c>
      <c r="AE1330" s="212" t="s">
        <v>1102</v>
      </c>
      <c r="AF1330" s="208" t="s">
        <v>1103</v>
      </c>
      <c r="AG1330" s="1867" t="s">
        <v>1104</v>
      </c>
      <c r="AH1330" s="213" t="s">
        <v>1105</v>
      </c>
      <c r="AI1330" s="220" t="s">
        <v>1106</v>
      </c>
      <c r="AJ1330" s="483" t="s">
        <v>1107</v>
      </c>
      <c r="AK1330" s="484" t="s">
        <v>1108</v>
      </c>
      <c r="AL1330" s="221" t="s">
        <v>1109</v>
      </c>
      <c r="AM1330" s="221" t="s">
        <v>1175</v>
      </c>
      <c r="AN1330" s="221" t="s">
        <v>1176</v>
      </c>
      <c r="AO1330" s="13"/>
      <c r="AP1330" s="13"/>
    </row>
    <row r="1331" spans="1:42" ht="15.75">
      <c r="A1331" s="187"/>
      <c r="B1331" s="1833" t="s">
        <v>525</v>
      </c>
      <c r="C1331" s="250" t="s">
        <v>376</v>
      </c>
      <c r="D1331" s="251">
        <v>90</v>
      </c>
      <c r="E1331" s="251">
        <v>10</v>
      </c>
      <c r="F1331" s="251">
        <v>150</v>
      </c>
      <c r="G1331" s="328">
        <v>90</v>
      </c>
      <c r="H1331" s="453">
        <f>G1331*(1+$H$33)</f>
        <v>96.300000000000011</v>
      </c>
      <c r="I1331" s="453">
        <f>H1331-H1331*$J$1239</f>
        <v>52.965000000000003</v>
      </c>
      <c r="J1331" s="1045">
        <f t="shared" ref="J1331:J1336" si="1014">G1331-G1331*$J$1239</f>
        <v>49.5</v>
      </c>
      <c r="K1331" s="1094">
        <v>110</v>
      </c>
      <c r="L1331" s="322">
        <v>78</v>
      </c>
      <c r="M1331" s="323">
        <f t="shared" ref="M1331:M1337" si="1015">L1331/D1331*100%</f>
        <v>0.8666666666666667</v>
      </c>
      <c r="N1331" s="765">
        <f>K1331-(K1331*$O$33)</f>
        <v>55</v>
      </c>
      <c r="O1331" s="469">
        <f t="shared" ref="O1331:O1337" si="1016">((N1331/J1331)-1)*100%</f>
        <v>0.11111111111111116</v>
      </c>
      <c r="P1331" s="472">
        <f>((N1331/I1331)-1)*100%</f>
        <v>3.8421599169262688E-2</v>
      </c>
      <c r="Q1331" s="336">
        <v>1.1595750845002417</v>
      </c>
      <c r="R1331" s="382">
        <f t="shared" ref="R1331:R1337" si="1017">Q1331*$R$33</f>
        <v>54.538294949299868</v>
      </c>
      <c r="S1331" s="918">
        <f t="shared" ref="S1331:S1337" si="1018">((J1331-R1331)/J1331)*100%</f>
        <v>-0.10178373634949228</v>
      </c>
      <c r="T1331" s="696">
        <f>((I1331-R1331)/I1331)*100%</f>
        <v>-2.970442649485253E-2</v>
      </c>
      <c r="U1331" s="1358">
        <v>0.93700000000000006</v>
      </c>
      <c r="V1331" s="1359">
        <f t="shared" ref="V1331:V1337" si="1019">U1331*$U$1234</f>
        <v>1.2321550000000001</v>
      </c>
      <c r="W1331" s="1359">
        <f t="shared" ref="W1331:W1337" si="1020">V1331*$R$33</f>
        <v>57.951946115000005</v>
      </c>
      <c r="X1331" s="1360">
        <f>(ROUND(W1331/(1-$AA$1329),0))</f>
        <v>64</v>
      </c>
      <c r="Y1331" s="1359">
        <f t="shared" ref="Y1331:Y1337" si="1021">Z1331*(1-$X$1235)</f>
        <v>61.480000000000004</v>
      </c>
      <c r="Z1331" s="1360">
        <f t="shared" ref="Z1331:Z1337" si="1022">ROUND(X1331/(1-$X$1234),0)</f>
        <v>116</v>
      </c>
      <c r="AA1331" s="1361">
        <f t="shared" ref="AA1331:AA1337" si="1023">((X1331-W1331)/X1331)*100%</f>
        <v>9.4500841953124914E-2</v>
      </c>
      <c r="AB1331" s="1361">
        <f t="shared" ref="AB1331:AB1337" si="1024">((Y1331-W1331)/Y1331)*100%</f>
        <v>5.738539175341572E-2</v>
      </c>
      <c r="AC1331" s="1362">
        <f t="shared" ref="AC1331:AC1337" si="1025">((N1331/Y1331)-1)*100%</f>
        <v>-0.10540013012361749</v>
      </c>
      <c r="AD1331" s="1669">
        <f t="shared" ref="AD1331:AD1337" si="1026">((N1331*0.96-W1331)/(N1331*0.96))*100%</f>
        <v>-9.7574737026515312E-2</v>
      </c>
      <c r="AE1331" s="261">
        <f t="shared" ref="AE1331:AE1337" si="1027">N1331/$R$33</f>
        <v>1.169391703697404</v>
      </c>
      <c r="AF1331" s="1359">
        <f>(V1331/(1-$AA$1329))</f>
        <v>1.3540164835164836</v>
      </c>
      <c r="AG1331" s="1896">
        <v>2.46</v>
      </c>
      <c r="AH1331" s="1361">
        <f t="shared" ref="AH1331:AH1337" si="1028">((AF1331-V1331)/AF1331)*100%</f>
        <v>0.09</v>
      </c>
      <c r="AI1331" s="77">
        <f>AJ1331/$AJ$1338</f>
        <v>0.28135405105438399</v>
      </c>
      <c r="AJ1331" s="333">
        <v>507</v>
      </c>
      <c r="AK1331" s="270">
        <f t="shared" ref="AK1331:AK1337" si="1029">Q1331*S1331*AJ1331</f>
        <v>-59.839123531853907</v>
      </c>
      <c r="AL1331" s="506">
        <f>AK1331/$AK$1338</f>
        <v>0.40759767933253177</v>
      </c>
      <c r="AM1331" s="77">
        <f>AJ1331/$AJ$1359</f>
        <v>6.574340620866724E-3</v>
      </c>
      <c r="AN1331" s="77">
        <f>AK1331/$AK$1359</f>
        <v>-6.4176763597833322E-3</v>
      </c>
      <c r="AO1331" s="13"/>
      <c r="AP1331" s="13"/>
    </row>
    <row r="1332" spans="1:42" ht="15.75">
      <c r="A1332" s="271"/>
      <c r="B1332" s="1832" t="s">
        <v>526</v>
      </c>
      <c r="C1332" s="925" t="s">
        <v>378</v>
      </c>
      <c r="D1332" s="926">
        <v>120</v>
      </c>
      <c r="E1332" s="926">
        <v>10</v>
      </c>
      <c r="F1332" s="926">
        <v>120</v>
      </c>
      <c r="G1332" s="433">
        <v>130</v>
      </c>
      <c r="H1332" s="453">
        <f t="shared" ref="H1332:H1337" si="1030">G1332*(1+$H$33)</f>
        <v>139.1</v>
      </c>
      <c r="I1332" s="453">
        <f t="shared" ref="I1332:I1337" si="1031">H1332-H1332*$J$1239</f>
        <v>76.504999999999995</v>
      </c>
      <c r="J1332" s="1567">
        <f t="shared" si="1014"/>
        <v>71.5</v>
      </c>
      <c r="K1332" s="1568">
        <v>159</v>
      </c>
      <c r="L1332" s="929">
        <v>119</v>
      </c>
      <c r="M1332" s="1516">
        <f t="shared" si="1015"/>
        <v>0.9916666666666667</v>
      </c>
      <c r="N1332" s="931">
        <f t="shared" ref="N1332:N1337" si="1032">K1332-(K1332*$O$33)</f>
        <v>79.5</v>
      </c>
      <c r="O1332" s="1510">
        <f t="shared" si="1016"/>
        <v>0.11188811188811187</v>
      </c>
      <c r="P1332" s="472">
        <f t="shared" ref="P1332:P1337" si="1033">((N1332/I1332)-1)*100%</f>
        <v>3.9147768119730753E-2</v>
      </c>
      <c r="Q1332" s="1012">
        <v>1.7096629213483148</v>
      </c>
      <c r="R1332" s="496">
        <f t="shared" si="1017"/>
        <v>80.41057617977529</v>
      </c>
      <c r="S1332" s="1778">
        <f t="shared" si="1018"/>
        <v>-0.12462344307378029</v>
      </c>
      <c r="T1332" s="696">
        <f t="shared" ref="T1332:T1337" si="1034">((I1332-R1332)/I1332)*100%</f>
        <v>-5.1049946797925565E-2</v>
      </c>
      <c r="U1332" s="1358">
        <v>1.083</v>
      </c>
      <c r="V1332" s="1359">
        <f t="shared" si="1019"/>
        <v>1.424145</v>
      </c>
      <c r="W1332" s="1359">
        <f t="shared" si="1020"/>
        <v>66.981811785000005</v>
      </c>
      <c r="X1332" s="1360">
        <f>(ROUND(W1332/(1-$AB$1329),0))</f>
        <v>78</v>
      </c>
      <c r="Y1332" s="1359">
        <f t="shared" si="1021"/>
        <v>75.260000000000005</v>
      </c>
      <c r="Z1332" s="1360">
        <f t="shared" si="1022"/>
        <v>142</v>
      </c>
      <c r="AA1332" s="1361">
        <f t="shared" si="1023"/>
        <v>0.1412588232692307</v>
      </c>
      <c r="AB1332" s="1361">
        <f t="shared" si="1024"/>
        <v>0.10999452850119584</v>
      </c>
      <c r="AC1332" s="1696">
        <f t="shared" si="1025"/>
        <v>5.6338028169014009E-2</v>
      </c>
      <c r="AD1332" s="1669">
        <f t="shared" si="1026"/>
        <v>0.12235571560534576</v>
      </c>
      <c r="AE1332" s="261">
        <f t="shared" si="1027"/>
        <v>1.6903025535262475</v>
      </c>
      <c r="AF1332" s="1359">
        <f>(V1332/(1-$AB$1329))</f>
        <v>1.6559825581395349</v>
      </c>
      <c r="AG1332" s="1896">
        <v>3.01</v>
      </c>
      <c r="AH1332" s="1361">
        <f t="shared" si="1028"/>
        <v>0.14000000000000001</v>
      </c>
      <c r="AI1332" s="77">
        <f t="shared" ref="AI1332:AI1337" si="1035">AJ1332/$AJ$1338</f>
        <v>0.32075471698113206</v>
      </c>
      <c r="AJ1332" s="333">
        <v>578</v>
      </c>
      <c r="AK1332" s="270">
        <f t="shared" si="1029"/>
        <v>-123.15103809781466</v>
      </c>
      <c r="AL1332" s="506">
        <f t="shared" ref="AL1332:AL1337" si="1036">AK1332/$AK$1338</f>
        <v>0.8388504773025427</v>
      </c>
      <c r="AM1332" s="77">
        <f t="shared" ref="AM1332:AM1337" si="1037">AJ1332/$AJ$1359</f>
        <v>7.4950076506133459E-3</v>
      </c>
      <c r="AN1332" s="77">
        <f t="shared" ref="AN1332:AN1337" si="1038">AK1332/$AK$1359</f>
        <v>-1.3207805516442791E-2</v>
      </c>
      <c r="AO1332" s="13"/>
      <c r="AP1332" s="13"/>
    </row>
    <row r="1333" spans="1:42" ht="15.75">
      <c r="A1333" s="187"/>
      <c r="B1333" s="1833" t="s">
        <v>527</v>
      </c>
      <c r="C1333" s="250" t="s">
        <v>380</v>
      </c>
      <c r="D1333" s="251">
        <v>110</v>
      </c>
      <c r="E1333" s="251">
        <v>10</v>
      </c>
      <c r="F1333" s="251">
        <v>120</v>
      </c>
      <c r="G1333" s="328">
        <v>128</v>
      </c>
      <c r="H1333" s="453">
        <f t="shared" si="1030"/>
        <v>136.96</v>
      </c>
      <c r="I1333" s="453">
        <f t="shared" si="1031"/>
        <v>75.328000000000003</v>
      </c>
      <c r="J1333" s="1045">
        <f t="shared" si="1014"/>
        <v>70.400000000000006</v>
      </c>
      <c r="K1333" s="1094">
        <v>170</v>
      </c>
      <c r="L1333" s="322">
        <v>126</v>
      </c>
      <c r="M1333" s="335">
        <f t="shared" si="1015"/>
        <v>1.1454545454545455</v>
      </c>
      <c r="N1333" s="765">
        <f t="shared" si="1032"/>
        <v>85</v>
      </c>
      <c r="O1333" s="469">
        <f t="shared" si="1016"/>
        <v>0.20738636363636354</v>
      </c>
      <c r="P1333" s="472">
        <f t="shared" si="1033"/>
        <v>0.12839847068819021</v>
      </c>
      <c r="Q1333" s="336">
        <v>1.4257098884186223</v>
      </c>
      <c r="R1333" s="382">
        <f t="shared" si="1017"/>
        <v>67.05541318199306</v>
      </c>
      <c r="S1333" s="918">
        <f t="shared" si="1018"/>
        <v>4.75083354830532E-2</v>
      </c>
      <c r="T1333" s="696">
        <f t="shared" si="1034"/>
        <v>0.10982087428322725</v>
      </c>
      <c r="U1333" s="1358">
        <v>1.133</v>
      </c>
      <c r="V1333" s="1359">
        <f t="shared" si="1019"/>
        <v>1.489895</v>
      </c>
      <c r="W1333" s="1359">
        <f t="shared" si="1020"/>
        <v>70.074231534999996</v>
      </c>
      <c r="X1333" s="1360">
        <f>(ROUND(W1333/(1-$AB$1329),0))</f>
        <v>81</v>
      </c>
      <c r="Y1333" s="1359">
        <f t="shared" si="1021"/>
        <v>77.910000000000011</v>
      </c>
      <c r="Z1333" s="1360">
        <f t="shared" si="1022"/>
        <v>147</v>
      </c>
      <c r="AA1333" s="1361">
        <f t="shared" si="1023"/>
        <v>0.13488603043209882</v>
      </c>
      <c r="AB1333" s="1361">
        <f t="shared" si="1024"/>
        <v>0.10057461769991033</v>
      </c>
      <c r="AC1333" s="1696">
        <f t="shared" si="1025"/>
        <v>9.1002438711333511E-2</v>
      </c>
      <c r="AD1333" s="1669">
        <f t="shared" si="1026"/>
        <v>0.14124716256127451</v>
      </c>
      <c r="AE1333" s="261">
        <f t="shared" si="1027"/>
        <v>1.8072417238959879</v>
      </c>
      <c r="AF1333" s="1359">
        <f>(V1333/(1-$AB$1329))</f>
        <v>1.732436046511628</v>
      </c>
      <c r="AG1333" s="1896">
        <f>AF1333/(1-$X$1234)</f>
        <v>3.1498837209302324</v>
      </c>
      <c r="AH1333" s="1361">
        <f t="shared" si="1028"/>
        <v>0.14000000000000004</v>
      </c>
      <c r="AI1333" s="92">
        <f t="shared" si="1035"/>
        <v>0.19422863485016648</v>
      </c>
      <c r="AJ1333" s="338">
        <v>350</v>
      </c>
      <c r="AK1333" s="297">
        <f t="shared" si="1029"/>
        <v>23.706586288174389</v>
      </c>
      <c r="AL1333" s="866">
        <f t="shared" si="1036"/>
        <v>-0.16147879490267883</v>
      </c>
      <c r="AM1333" s="92">
        <f t="shared" si="1037"/>
        <v>4.5384994424129254E-3</v>
      </c>
      <c r="AN1333" s="92">
        <f t="shared" si="1038"/>
        <v>2.5425037903804154E-3</v>
      </c>
      <c r="AO1333" s="13"/>
      <c r="AP1333" s="13"/>
    </row>
    <row r="1334" spans="1:42" ht="15.75">
      <c r="A1334" s="187"/>
      <c r="B1334" s="1833" t="s">
        <v>528</v>
      </c>
      <c r="C1334" s="250" t="s">
        <v>382</v>
      </c>
      <c r="D1334" s="251">
        <v>105</v>
      </c>
      <c r="E1334" s="251">
        <v>5</v>
      </c>
      <c r="F1334" s="251">
        <v>100</v>
      </c>
      <c r="G1334" s="328">
        <v>138</v>
      </c>
      <c r="H1334" s="453">
        <f t="shared" si="1030"/>
        <v>147.66</v>
      </c>
      <c r="I1334" s="453">
        <f t="shared" si="1031"/>
        <v>81.212999999999994</v>
      </c>
      <c r="J1334" s="1045">
        <f t="shared" si="1014"/>
        <v>75.900000000000006</v>
      </c>
      <c r="K1334" s="1094">
        <v>182</v>
      </c>
      <c r="L1334" s="322">
        <v>105</v>
      </c>
      <c r="M1334" s="323">
        <f t="shared" si="1015"/>
        <v>1</v>
      </c>
      <c r="N1334" s="765">
        <f t="shared" si="1032"/>
        <v>91</v>
      </c>
      <c r="O1334" s="469">
        <f t="shared" si="1016"/>
        <v>0.19894598155467702</v>
      </c>
      <c r="P1334" s="472">
        <f t="shared" si="1033"/>
        <v>0.1205102631352124</v>
      </c>
      <c r="Q1334" s="336">
        <v>1.7314224137931036</v>
      </c>
      <c r="R1334" s="382">
        <f t="shared" si="1017"/>
        <v>81.433990387931047</v>
      </c>
      <c r="S1334" s="918">
        <f t="shared" si="1018"/>
        <v>-7.2911599313979461E-2</v>
      </c>
      <c r="T1334" s="696">
        <f t="shared" si="1034"/>
        <v>-2.7211208541865601E-3</v>
      </c>
      <c r="U1334" s="261">
        <v>1.0820000000000001</v>
      </c>
      <c r="V1334" s="1359">
        <f t="shared" si="1019"/>
        <v>1.42283</v>
      </c>
      <c r="W1334" s="1359">
        <f t="shared" si="1020"/>
        <v>66.919963390000007</v>
      </c>
      <c r="X1334" s="1360">
        <f>(ROUND(W1334/(1-$Z$1329),0))</f>
        <v>83</v>
      </c>
      <c r="Y1334" s="1359">
        <f t="shared" si="1021"/>
        <v>80.03</v>
      </c>
      <c r="Z1334" s="1360">
        <f t="shared" si="1022"/>
        <v>151</v>
      </c>
      <c r="AA1334" s="1361">
        <f t="shared" si="1023"/>
        <v>0.19373538084337341</v>
      </c>
      <c r="AB1334" s="1361">
        <f t="shared" si="1024"/>
        <v>0.16381402736473816</v>
      </c>
      <c r="AC1334" s="1696">
        <f t="shared" si="1025"/>
        <v>0.13707359740097469</v>
      </c>
      <c r="AD1334" s="1669">
        <f t="shared" si="1026"/>
        <v>0.23397477804487171</v>
      </c>
      <c r="AE1334" s="261">
        <f t="shared" si="1027"/>
        <v>1.9348117279357047</v>
      </c>
      <c r="AF1334" s="1359">
        <f>(V1334/(1-$Z$1329))</f>
        <v>1.7565802469135803</v>
      </c>
      <c r="AG1334" s="1896">
        <v>3.19</v>
      </c>
      <c r="AH1334" s="1361">
        <f t="shared" si="1028"/>
        <v>0.19</v>
      </c>
      <c r="AI1334" s="77">
        <f t="shared" si="1035"/>
        <v>0.1076581576026637</v>
      </c>
      <c r="AJ1334" s="333">
        <v>194</v>
      </c>
      <c r="AK1334" s="270">
        <f t="shared" si="1029"/>
        <v>-24.490710791878829</v>
      </c>
      <c r="AL1334" s="506">
        <f t="shared" si="1036"/>
        <v>0.16681990468426791</v>
      </c>
      <c r="AM1334" s="77">
        <f t="shared" si="1037"/>
        <v>2.5156254052231646E-3</v>
      </c>
      <c r="AN1334" s="77">
        <f t="shared" si="1038"/>
        <v>-2.626600230861734E-3</v>
      </c>
      <c r="AO1334" s="13"/>
      <c r="AP1334" s="13"/>
    </row>
    <row r="1335" spans="1:42" ht="15.75">
      <c r="A1335" s="187"/>
      <c r="B1335" s="1833" t="s">
        <v>529</v>
      </c>
      <c r="C1335" s="250" t="s">
        <v>384</v>
      </c>
      <c r="D1335" s="251">
        <v>170</v>
      </c>
      <c r="E1335" s="251">
        <v>5</v>
      </c>
      <c r="F1335" s="251">
        <v>50</v>
      </c>
      <c r="G1335" s="328">
        <v>188</v>
      </c>
      <c r="H1335" s="453">
        <f t="shared" si="1030"/>
        <v>201.16000000000003</v>
      </c>
      <c r="I1335" s="453">
        <f t="shared" si="1031"/>
        <v>110.63800000000001</v>
      </c>
      <c r="J1335" s="1045">
        <f t="shared" si="1014"/>
        <v>103.39999999999999</v>
      </c>
      <c r="K1335" s="1094">
        <v>249</v>
      </c>
      <c r="L1335" s="322">
        <v>165</v>
      </c>
      <c r="M1335" s="323">
        <f t="shared" si="1015"/>
        <v>0.97058823529411764</v>
      </c>
      <c r="N1335" s="765">
        <f t="shared" si="1032"/>
        <v>124.5</v>
      </c>
      <c r="O1335" s="469">
        <f t="shared" si="1016"/>
        <v>0.20406189555125742</v>
      </c>
      <c r="P1335" s="472">
        <f t="shared" si="1033"/>
        <v>0.12529149116939919</v>
      </c>
      <c r="Q1335" s="336">
        <v>2.1209569028487949</v>
      </c>
      <c r="R1335" s="382">
        <f t="shared" si="1017"/>
        <v>99.754966011687372</v>
      </c>
      <c r="S1335" s="918">
        <f t="shared" si="1018"/>
        <v>3.5251779384067886E-2</v>
      </c>
      <c r="T1335" s="696">
        <f t="shared" si="1034"/>
        <v>9.8366148957072908E-2</v>
      </c>
      <c r="U1335" s="261">
        <v>1.7509999999999999</v>
      </c>
      <c r="V1335" s="1359">
        <f t="shared" si="1019"/>
        <v>2.302565</v>
      </c>
      <c r="W1335" s="1359">
        <f t="shared" si="1020"/>
        <v>108.296539645</v>
      </c>
      <c r="X1335" s="1360">
        <f>(ROUND(W1335/(1-$AB$1329),0))</f>
        <v>126</v>
      </c>
      <c r="Y1335" s="1359">
        <f t="shared" si="1021"/>
        <v>121.37</v>
      </c>
      <c r="Z1335" s="1360">
        <f t="shared" si="1022"/>
        <v>229</v>
      </c>
      <c r="AA1335" s="1361">
        <f t="shared" si="1023"/>
        <v>0.14050365361111114</v>
      </c>
      <c r="AB1335" s="1361">
        <f t="shared" si="1024"/>
        <v>0.10771574816676285</v>
      </c>
      <c r="AC1335" s="1696">
        <f t="shared" si="1025"/>
        <v>2.5788909944796767E-2</v>
      </c>
      <c r="AD1335" s="1669">
        <f t="shared" si="1026"/>
        <v>9.390445410809907E-2</v>
      </c>
      <c r="AE1335" s="261">
        <f t="shared" si="1027"/>
        <v>2.6470775838241236</v>
      </c>
      <c r="AF1335" s="1359">
        <f>(V1335/(1-$AB$1329))</f>
        <v>2.6774011627906975</v>
      </c>
      <c r="AG1335" s="1896">
        <v>4.87</v>
      </c>
      <c r="AH1335" s="1361">
        <f t="shared" si="1028"/>
        <v>0.13999999999999996</v>
      </c>
      <c r="AI1335" s="77">
        <f t="shared" si="1035"/>
        <v>2.5527192008879023E-2</v>
      </c>
      <c r="AJ1335" s="333">
        <v>46</v>
      </c>
      <c r="AK1335" s="270">
        <f t="shared" si="1029"/>
        <v>3.4393052218277145</v>
      </c>
      <c r="AL1335" s="506">
        <f t="shared" si="1036"/>
        <v>-2.342702807448362E-2</v>
      </c>
      <c r="AM1335" s="77">
        <f t="shared" si="1037"/>
        <v>5.9648849814569879E-4</v>
      </c>
      <c r="AN1335" s="77">
        <f t="shared" si="1038"/>
        <v>3.6886148247899074E-4</v>
      </c>
      <c r="AO1335" s="13"/>
      <c r="AP1335" s="13"/>
    </row>
    <row r="1336" spans="1:42" ht="15.75">
      <c r="A1336" s="187"/>
      <c r="B1336" s="1833" t="s">
        <v>558</v>
      </c>
      <c r="C1336" s="250" t="s">
        <v>386</v>
      </c>
      <c r="D1336" s="251">
        <v>205</v>
      </c>
      <c r="E1336" s="251">
        <v>5</v>
      </c>
      <c r="F1336" s="251">
        <v>25</v>
      </c>
      <c r="G1336" s="328">
        <v>260</v>
      </c>
      <c r="H1336" s="453">
        <f t="shared" si="1030"/>
        <v>278.2</v>
      </c>
      <c r="I1336" s="453">
        <f t="shared" si="1031"/>
        <v>153.01</v>
      </c>
      <c r="J1336" s="1045">
        <f t="shared" si="1014"/>
        <v>143</v>
      </c>
      <c r="K1336" s="1094">
        <v>345</v>
      </c>
      <c r="L1336" s="322">
        <v>226</v>
      </c>
      <c r="M1336" s="335">
        <f t="shared" si="1015"/>
        <v>1.102439024390244</v>
      </c>
      <c r="N1336" s="765">
        <f t="shared" si="1032"/>
        <v>172.5</v>
      </c>
      <c r="O1336" s="469">
        <f t="shared" si="1016"/>
        <v>0.20629370629370625</v>
      </c>
      <c r="P1336" s="472">
        <f t="shared" si="1033"/>
        <v>0.12737729560159483</v>
      </c>
      <c r="Q1336" s="336">
        <v>2.6509170305676855</v>
      </c>
      <c r="R1336" s="382">
        <f t="shared" si="1017"/>
        <v>124.68058069868995</v>
      </c>
      <c r="S1336" s="918">
        <f t="shared" si="1018"/>
        <v>0.12810782728188846</v>
      </c>
      <c r="T1336" s="696">
        <f t="shared" si="1034"/>
        <v>0.18514750213260597</v>
      </c>
      <c r="U1336" s="261">
        <v>2.1120000000000001</v>
      </c>
      <c r="V1336" s="1359">
        <f t="shared" si="1019"/>
        <v>2.7772800000000002</v>
      </c>
      <c r="W1336" s="1359">
        <f t="shared" si="1020"/>
        <v>130.62381024000001</v>
      </c>
      <c r="X1336" s="1360">
        <f>(ROUND(W1336/(1-$Z$1329),0))</f>
        <v>161</v>
      </c>
      <c r="Y1336" s="1359">
        <f t="shared" si="1021"/>
        <v>155.29000000000002</v>
      </c>
      <c r="Z1336" s="1360">
        <f t="shared" si="1022"/>
        <v>293</v>
      </c>
      <c r="AA1336" s="1361">
        <f t="shared" si="1023"/>
        <v>0.18867198608695646</v>
      </c>
      <c r="AB1336" s="1361">
        <f t="shared" si="1024"/>
        <v>0.15883952450254366</v>
      </c>
      <c r="AC1336" s="1696">
        <f t="shared" si="1025"/>
        <v>0.11082490823620317</v>
      </c>
      <c r="AD1336" s="1669">
        <f t="shared" si="1026"/>
        <v>0.21120887536231875</v>
      </c>
      <c r="AE1336" s="261">
        <f t="shared" si="1027"/>
        <v>3.6676376161418576</v>
      </c>
      <c r="AF1336" s="1359">
        <f>(V1336/(1-$Z$1329))</f>
        <v>3.4287407407407406</v>
      </c>
      <c r="AG1336" s="1896">
        <v>6.23</v>
      </c>
      <c r="AH1336" s="1361">
        <f t="shared" si="1028"/>
        <v>0.18999999999999992</v>
      </c>
      <c r="AI1336" s="77">
        <f t="shared" si="1035"/>
        <v>5.0499445061043285E-2</v>
      </c>
      <c r="AJ1336" s="333">
        <v>91</v>
      </c>
      <c r="AK1336" s="270">
        <f t="shared" si="1029"/>
        <v>30.903893119242937</v>
      </c>
      <c r="AL1336" s="506">
        <f t="shared" si="1036"/>
        <v>-0.21050367007863433</v>
      </c>
      <c r="AM1336" s="77">
        <f t="shared" si="1037"/>
        <v>1.1800098550273606E-3</v>
      </c>
      <c r="AN1336" s="77">
        <f t="shared" si="1038"/>
        <v>3.3144065719989931E-3</v>
      </c>
      <c r="AO1336" s="13"/>
      <c r="AP1336" s="13"/>
    </row>
    <row r="1337" spans="1:42" ht="16.5" thickBot="1">
      <c r="A1337" s="187"/>
      <c r="B1337" s="1833" t="s">
        <v>530</v>
      </c>
      <c r="C1337" s="250" t="s">
        <v>388</v>
      </c>
      <c r="D1337" s="250">
        <v>245</v>
      </c>
      <c r="E1337" s="251">
        <v>5</v>
      </c>
      <c r="F1337" s="250">
        <v>30</v>
      </c>
      <c r="G1337" s="328">
        <v>288</v>
      </c>
      <c r="H1337" s="453">
        <f t="shared" si="1030"/>
        <v>308.16000000000003</v>
      </c>
      <c r="I1337" s="453">
        <f t="shared" si="1031"/>
        <v>169.488</v>
      </c>
      <c r="J1337" s="1045">
        <f>G1337-G1337*$J$1279</f>
        <v>158.4</v>
      </c>
      <c r="K1337" s="1094">
        <v>381</v>
      </c>
      <c r="L1337" s="322">
        <v>298</v>
      </c>
      <c r="M1337" s="335">
        <f t="shared" si="1015"/>
        <v>1.2163265306122448</v>
      </c>
      <c r="N1337" s="765">
        <f t="shared" si="1032"/>
        <v>190.5</v>
      </c>
      <c r="O1337" s="469">
        <f t="shared" si="1016"/>
        <v>0.20265151515151514</v>
      </c>
      <c r="P1337" s="475">
        <f t="shared" si="1033"/>
        <v>0.12397337864627578</v>
      </c>
      <c r="Q1337" s="336">
        <v>3.2933733333333328</v>
      </c>
      <c r="R1337" s="382">
        <f t="shared" si="1017"/>
        <v>154.89722798666665</v>
      </c>
      <c r="S1337" s="918">
        <f t="shared" si="1018"/>
        <v>2.2113459680134822E-2</v>
      </c>
      <c r="T1337" s="919">
        <f t="shared" si="1034"/>
        <v>8.6087345495453063E-2</v>
      </c>
      <c r="U1337" s="261">
        <v>2.524</v>
      </c>
      <c r="V1337" s="1359">
        <f t="shared" si="1019"/>
        <v>3.3190599999999999</v>
      </c>
      <c r="W1337" s="1359">
        <f t="shared" si="1020"/>
        <v>156.10534898</v>
      </c>
      <c r="X1337" s="1360">
        <f>(ROUND(W1337/(1-$AB$1329),0))</f>
        <v>182</v>
      </c>
      <c r="Y1337" s="1359">
        <f t="shared" si="1021"/>
        <v>175.43</v>
      </c>
      <c r="Z1337" s="1360">
        <f t="shared" si="1022"/>
        <v>331</v>
      </c>
      <c r="AA1337" s="1361">
        <f t="shared" si="1023"/>
        <v>0.14227830230769228</v>
      </c>
      <c r="AB1337" s="1361">
        <f t="shared" si="1024"/>
        <v>0.11015590845351425</v>
      </c>
      <c r="AC1337" s="1696">
        <f t="shared" si="1025"/>
        <v>8.5903209257253588E-2</v>
      </c>
      <c r="AD1337" s="1669">
        <f t="shared" si="1026"/>
        <v>0.14640557206911634</v>
      </c>
      <c r="AE1337" s="261">
        <f t="shared" si="1027"/>
        <v>4.050347628261008</v>
      </c>
      <c r="AF1337" s="1359">
        <f>(V1337/(1-$AB$1329))</f>
        <v>3.8593720930232558</v>
      </c>
      <c r="AG1337" s="1896">
        <v>7.02</v>
      </c>
      <c r="AH1337" s="1361">
        <f t="shared" si="1028"/>
        <v>0.14000000000000001</v>
      </c>
      <c r="AI1337" s="77">
        <f t="shared" si="1035"/>
        <v>1.9977802441731411E-2</v>
      </c>
      <c r="AJ1337" s="333">
        <v>36</v>
      </c>
      <c r="AK1337" s="270">
        <f t="shared" si="1029"/>
        <v>2.6218036230587236</v>
      </c>
      <c r="AL1337" s="506">
        <f t="shared" si="1036"/>
        <v>-1.7858568263545746E-2</v>
      </c>
      <c r="AM1337" s="77">
        <f t="shared" si="1037"/>
        <v>4.668170855053295E-4</v>
      </c>
      <c r="AN1337" s="77">
        <f t="shared" si="1038"/>
        <v>2.8118538739527838E-4</v>
      </c>
      <c r="AO1337" s="13"/>
      <c r="AP1337" s="13"/>
    </row>
    <row r="1338" spans="1:42" ht="15.75" thickBot="1">
      <c r="A1338" s="149" t="s">
        <v>171</v>
      </c>
      <c r="J1338" s="532"/>
      <c r="K1338" s="533"/>
      <c r="N1338" s="1756"/>
      <c r="P1338" s="886"/>
      <c r="Q1338" s="1091"/>
      <c r="R1338" s="1092"/>
      <c r="S1338" s="1092"/>
      <c r="T1338" s="365"/>
      <c r="U1338" s="366"/>
      <c r="V1338" s="366"/>
      <c r="W1338" s="366"/>
      <c r="X1338" s="366"/>
      <c r="Y1338" s="366"/>
      <c r="Z1338" s="366"/>
      <c r="AA1338" s="367"/>
      <c r="AB1338" s="367"/>
      <c r="AC1338" s="367"/>
      <c r="AD1338" s="367"/>
      <c r="AE1338" s="366"/>
      <c r="AF1338" s="366"/>
      <c r="AG1338" s="1872"/>
      <c r="AH1338" s="367"/>
      <c r="AI1338" s="512">
        <f>S1331*AI1331+S1332*AI1332+S1333*AI1333+S1334*AI1334+S1335*AI1335+S1336*AI1336+S1337*AI1337</f>
        <v>-5.9421841615359128E-2</v>
      </c>
      <c r="AJ1338" s="513">
        <f>SUM(AJ1331:AJ1337)</f>
        <v>1802</v>
      </c>
      <c r="AK1338" s="514">
        <f>SUM(AK1331:AK1337)</f>
        <v>-146.80928416924365</v>
      </c>
      <c r="AM1338" s="307">
        <f>SUM(AM1331:AM1337)</f>
        <v>2.336678855779455E-2</v>
      </c>
      <c r="AN1338" s="307">
        <f>SUM(AN1331:AN1337)</f>
        <v>-1.574512487483418E-2</v>
      </c>
      <c r="AO1338" s="13"/>
      <c r="AP1338" s="13"/>
    </row>
    <row r="1339" spans="1:42" ht="15.75" thickBot="1">
      <c r="A1339" s="187"/>
      <c r="B1339" s="157"/>
      <c r="C1339" s="157" t="s">
        <v>172</v>
      </c>
      <c r="J1339" s="532"/>
      <c r="K1339" s="1850" t="s">
        <v>1495</v>
      </c>
      <c r="L1339" s="1850"/>
      <c r="M1339" s="1850"/>
      <c r="N1339" s="898"/>
      <c r="O1339" s="899"/>
      <c r="P1339" s="459"/>
      <c r="U1339" s="309"/>
      <c r="V1339" s="309"/>
      <c r="W1339" s="309"/>
      <c r="X1339" s="309"/>
      <c r="Y1339" s="309"/>
      <c r="Z1339" s="346">
        <v>0.19</v>
      </c>
      <c r="AA1339" s="346">
        <v>0.09</v>
      </c>
      <c r="AB1339" s="628">
        <v>0.14000000000000001</v>
      </c>
      <c r="AC1339" s="628">
        <v>0.25</v>
      </c>
      <c r="AD1339" s="585"/>
      <c r="AE1339" s="188"/>
      <c r="AF1339" s="188"/>
      <c r="AG1339" s="1866"/>
      <c r="AH1339" s="1851"/>
      <c r="AO1339" s="13"/>
      <c r="AP1339" s="13"/>
    </row>
    <row r="1340" spans="1:42" ht="60.75" thickBot="1">
      <c r="A1340" s="187"/>
      <c r="B1340" s="189" t="s">
        <v>10</v>
      </c>
      <c r="C1340" s="190" t="s">
        <v>11</v>
      </c>
      <c r="D1340" s="190" t="s">
        <v>12</v>
      </c>
      <c r="E1340" s="190" t="s">
        <v>13</v>
      </c>
      <c r="F1340" s="190" t="s">
        <v>14</v>
      </c>
      <c r="G1340" s="191" t="s">
        <v>15</v>
      </c>
      <c r="H1340" s="347" t="s">
        <v>1090</v>
      </c>
      <c r="I1340" s="347">
        <f>$C$22</f>
        <v>0.45</v>
      </c>
      <c r="J1340" s="873">
        <f>$C$22</f>
        <v>0.45</v>
      </c>
      <c r="K1340" s="601" t="s">
        <v>15</v>
      </c>
      <c r="L1340" s="315" t="s">
        <v>12</v>
      </c>
      <c r="M1340" s="316" t="s">
        <v>1091</v>
      </c>
      <c r="N1340" s="605" t="s">
        <v>993</v>
      </c>
      <c r="O1340" s="317" t="s">
        <v>1092</v>
      </c>
      <c r="P1340" s="602" t="s">
        <v>1092</v>
      </c>
      <c r="Q1340" s="875" t="s">
        <v>1093</v>
      </c>
      <c r="R1340" s="876" t="s">
        <v>1094</v>
      </c>
      <c r="S1340" s="1126" t="s">
        <v>1095</v>
      </c>
      <c r="T1340" s="1376" t="s">
        <v>1095</v>
      </c>
      <c r="U1340" s="204" t="s">
        <v>1096</v>
      </c>
      <c r="V1340" s="205" t="s">
        <v>1093</v>
      </c>
      <c r="W1340" s="206" t="s">
        <v>1094</v>
      </c>
      <c r="X1340" s="207" t="s">
        <v>1097</v>
      </c>
      <c r="Y1340" s="208">
        <f>$X$1235</f>
        <v>0.47</v>
      </c>
      <c r="Z1340" s="207" t="s">
        <v>1098</v>
      </c>
      <c r="AA1340" s="209" t="s">
        <v>1099</v>
      </c>
      <c r="AB1340" s="209" t="s">
        <v>1100</v>
      </c>
      <c r="AC1340" s="210" t="s">
        <v>1092</v>
      </c>
      <c r="AD1340" s="211" t="s">
        <v>1101</v>
      </c>
      <c r="AE1340" s="212" t="s">
        <v>1102</v>
      </c>
      <c r="AF1340" s="208" t="s">
        <v>1103</v>
      </c>
      <c r="AG1340" s="1867" t="s">
        <v>1104</v>
      </c>
      <c r="AH1340" s="213" t="s">
        <v>1105</v>
      </c>
      <c r="AI1340" s="220" t="s">
        <v>1106</v>
      </c>
      <c r="AJ1340" s="483" t="s">
        <v>1107</v>
      </c>
      <c r="AK1340" s="484" t="s">
        <v>1108</v>
      </c>
      <c r="AL1340" s="221" t="s">
        <v>1109</v>
      </c>
      <c r="AM1340" s="221" t="s">
        <v>1175</v>
      </c>
      <c r="AN1340" s="221" t="s">
        <v>1176</v>
      </c>
      <c r="AO1340" s="13"/>
      <c r="AP1340" s="13"/>
    </row>
    <row r="1341" spans="1:42" ht="15.75">
      <c r="A1341" s="187"/>
      <c r="B1341" s="1833" t="s">
        <v>531</v>
      </c>
      <c r="C1341" s="250" t="s">
        <v>376</v>
      </c>
      <c r="D1341" s="251">
        <v>77</v>
      </c>
      <c r="E1341" s="251">
        <v>10</v>
      </c>
      <c r="F1341" s="251">
        <v>200</v>
      </c>
      <c r="G1341" s="328">
        <v>84</v>
      </c>
      <c r="H1341" s="453">
        <f>G1341*(1+$H$33)</f>
        <v>89.88000000000001</v>
      </c>
      <c r="I1341" s="453">
        <f>H1341-H1341*$J$1239</f>
        <v>49.434000000000005</v>
      </c>
      <c r="J1341" s="1045">
        <f t="shared" ref="J1341:J1346" si="1039">G1341-G1341*$J$1239</f>
        <v>46.199999999999996</v>
      </c>
      <c r="K1341" s="1094">
        <v>110</v>
      </c>
      <c r="L1341" s="322">
        <v>62</v>
      </c>
      <c r="M1341" s="323">
        <f t="shared" ref="M1341:M1347" si="1040">L1341/D1341*100%</f>
        <v>0.80519480519480524</v>
      </c>
      <c r="N1341" s="1767">
        <f>K1341-(K1341*$O$33)</f>
        <v>55</v>
      </c>
      <c r="O1341" s="469">
        <f t="shared" ref="O1341:O1347" si="1041">((N1341/J1341)-1)*100%</f>
        <v>0.19047619047619069</v>
      </c>
      <c r="P1341" s="472">
        <f>((N1341/I1341)-1)*100%</f>
        <v>0.11259457053849564</v>
      </c>
      <c r="Q1341" s="336">
        <v>1.04</v>
      </c>
      <c r="R1341" s="382">
        <f t="shared" ref="R1341:R1347" si="1042">Q1341*$R$33</f>
        <v>48.914320000000004</v>
      </c>
      <c r="S1341" s="918">
        <f t="shared" ref="S1341:S1347" si="1043">((J1341-R1341)/J1341)*100%</f>
        <v>-5.8751515151515325E-2</v>
      </c>
      <c r="T1341" s="696">
        <f>((I1341-R1341)/I1341)*100%</f>
        <v>1.0512602662135393E-2</v>
      </c>
      <c r="U1341" s="1358">
        <v>0.84399999999999997</v>
      </c>
      <c r="V1341" s="1359">
        <f t="shared" ref="V1341:V1347" si="1044">U1341*$U$1234</f>
        <v>1.1098599999999998</v>
      </c>
      <c r="W1341" s="1359">
        <f t="shared" ref="W1341:W1347" si="1045">V1341*$R$33</f>
        <v>52.200045379999992</v>
      </c>
      <c r="X1341" s="1360">
        <f>(ROUND(W1341/(1-$AA$1339),0))</f>
        <v>57</v>
      </c>
      <c r="Y1341" s="1359">
        <f t="shared" ref="Y1341:Y1347" si="1046">Z1341*(1-$X$1235)</f>
        <v>55.120000000000005</v>
      </c>
      <c r="Z1341" s="1360">
        <f t="shared" ref="Z1341:Z1347" si="1047">ROUND(X1341/(1-$X$1234),0)</f>
        <v>104</v>
      </c>
      <c r="AA1341" s="1361">
        <f t="shared" ref="AA1341:AA1347" si="1048">((X1341-W1341)/X1341)*100%</f>
        <v>8.4209730175438743E-2</v>
      </c>
      <c r="AB1341" s="1361">
        <f t="shared" ref="AB1341:AB1347" si="1049">((Y1341-W1341)/Y1341)*100%</f>
        <v>5.2974503265602553E-2</v>
      </c>
      <c r="AC1341" s="1362">
        <f t="shared" ref="AC1341:AC1347" si="1050">((N1341/Y1341)-1)*100%</f>
        <v>-2.1770682148041232E-3</v>
      </c>
      <c r="AD1341" s="1669">
        <f t="shared" ref="AD1341:AD1347" si="1051">((N1341*0.96-W1341)/(N1341*0.96))*100%</f>
        <v>1.1362776893939497E-2</v>
      </c>
      <c r="AE1341" s="261">
        <f t="shared" ref="AE1341:AE1347" si="1052">N1341/$R$33</f>
        <v>1.169391703697404</v>
      </c>
      <c r="AF1341" s="1359">
        <f>(V1341/(1-$AA$1339))</f>
        <v>1.2196263736263735</v>
      </c>
      <c r="AG1341" s="1896">
        <v>2.2200000000000002</v>
      </c>
      <c r="AH1341" s="1361">
        <f t="shared" ref="AH1341:AH1347" si="1053">((AF1341-V1341)/AF1341)*100%</f>
        <v>9.0000000000000024E-2</v>
      </c>
      <c r="AI1341" s="92">
        <f>AJ1341/$AJ$1348</f>
        <v>0.77913213066796683</v>
      </c>
      <c r="AJ1341" s="338">
        <v>3196</v>
      </c>
      <c r="AK1341" s="297">
        <f t="shared" ref="AK1341:AK1347" si="1054">Q1341*S1341*AJ1341</f>
        <v>-195.28063612121269</v>
      </c>
      <c r="AL1341" s="866">
        <f>AK1341/$AK$1348</f>
        <v>1.3007445028284466</v>
      </c>
      <c r="AM1341" s="92">
        <f>AJ1341/$AJ$1359</f>
        <v>4.1442983479862028E-2</v>
      </c>
      <c r="AN1341" s="92">
        <f>AK1341/$AK$1359</f>
        <v>-2.0943620962152323E-2</v>
      </c>
      <c r="AO1341" s="13"/>
      <c r="AP1341" s="13"/>
    </row>
    <row r="1342" spans="1:42" ht="15.75">
      <c r="A1342" s="271"/>
      <c r="B1342" s="1833" t="s">
        <v>559</v>
      </c>
      <c r="C1342" s="250" t="s">
        <v>378</v>
      </c>
      <c r="D1342" s="251">
        <v>99</v>
      </c>
      <c r="E1342" s="251">
        <v>10</v>
      </c>
      <c r="F1342" s="251">
        <v>150</v>
      </c>
      <c r="G1342" s="328">
        <v>110</v>
      </c>
      <c r="H1342" s="453">
        <f t="shared" ref="H1342:H1347" si="1055">G1342*(1+$H$33)</f>
        <v>117.7</v>
      </c>
      <c r="I1342" s="453">
        <f t="shared" ref="I1342:I1347" si="1056">H1342-H1342*$J$1239</f>
        <v>64.734999999999999</v>
      </c>
      <c r="J1342" s="1045">
        <f t="shared" si="1039"/>
        <v>60.5</v>
      </c>
      <c r="K1342" s="1094">
        <v>155</v>
      </c>
      <c r="L1342" s="322">
        <v>101</v>
      </c>
      <c r="M1342" s="335">
        <f t="shared" si="1040"/>
        <v>1.0202020202020201</v>
      </c>
      <c r="N1342" s="1767">
        <f t="shared" ref="N1342:N1347" si="1057">K1342-(K1342*$O$33)</f>
        <v>77.5</v>
      </c>
      <c r="O1342" s="469">
        <f t="shared" si="1041"/>
        <v>0.28099173553719003</v>
      </c>
      <c r="P1342" s="472">
        <f t="shared" ref="P1342:P1347" si="1058">((N1342/I1342)-1)*100%</f>
        <v>0.19718853788522428</v>
      </c>
      <c r="Q1342" s="336">
        <v>1.2718577075098814</v>
      </c>
      <c r="R1342" s="382">
        <f t="shared" si="1042"/>
        <v>59.819283557312254</v>
      </c>
      <c r="S1342" s="918">
        <f t="shared" si="1043"/>
        <v>1.1251511449384237E-2</v>
      </c>
      <c r="T1342" s="696">
        <f t="shared" ref="T1342:T1347" si="1059">((I1342-R1342)/I1342)*100%</f>
        <v>7.5935992008770312E-2</v>
      </c>
      <c r="U1342" s="1358">
        <v>1.02</v>
      </c>
      <c r="V1342" s="1359">
        <f t="shared" si="1044"/>
        <v>1.3412999999999999</v>
      </c>
      <c r="W1342" s="1359">
        <f t="shared" si="1045"/>
        <v>63.0853629</v>
      </c>
      <c r="X1342" s="1360">
        <f>(ROUND(W1342/(1-$AB$1339),0))</f>
        <v>73</v>
      </c>
      <c r="Y1342" s="1359">
        <f t="shared" si="1046"/>
        <v>70.490000000000009</v>
      </c>
      <c r="Z1342" s="1360">
        <f t="shared" si="1047"/>
        <v>133</v>
      </c>
      <c r="AA1342" s="1361">
        <f t="shared" si="1048"/>
        <v>0.13581694657534246</v>
      </c>
      <c r="AB1342" s="1361">
        <f t="shared" si="1049"/>
        <v>0.10504521350546188</v>
      </c>
      <c r="AC1342" s="1696">
        <f t="shared" si="1050"/>
        <v>9.9446730032628494E-2</v>
      </c>
      <c r="AD1342" s="1669">
        <f t="shared" si="1051"/>
        <v>0.1520784556451612</v>
      </c>
      <c r="AE1342" s="261">
        <f t="shared" si="1052"/>
        <v>1.6477792188463418</v>
      </c>
      <c r="AF1342" s="1359">
        <f>(V1342/(1-$AB$1339))</f>
        <v>1.5596511627906977</v>
      </c>
      <c r="AG1342" s="1896">
        <v>2.84</v>
      </c>
      <c r="AH1342" s="1361">
        <f t="shared" si="1053"/>
        <v>0.14000000000000007</v>
      </c>
      <c r="AI1342" s="77">
        <f t="shared" ref="AI1342:AI1347" si="1060">AJ1342/$AJ$1348</f>
        <v>2.8278888347147733E-2</v>
      </c>
      <c r="AJ1342" s="333">
        <v>116</v>
      </c>
      <c r="AK1342" s="270">
        <f t="shared" si="1054"/>
        <v>1.6599973007320621</v>
      </c>
      <c r="AL1342" s="506">
        <f t="shared" ref="AL1342:AL1347" si="1061">AK1342/$AK$1348</f>
        <v>-1.1057073586635756E-2</v>
      </c>
      <c r="AM1342" s="77">
        <f t="shared" ref="AM1342:AM1347" si="1062">AJ1342/$AJ$1359</f>
        <v>1.5041883866282839E-3</v>
      </c>
      <c r="AN1342" s="77">
        <f t="shared" ref="AN1342:AN1347" si="1063">AK1342/$AK$1359</f>
        <v>1.7803277864758928E-4</v>
      </c>
      <c r="AO1342" s="13"/>
      <c r="AP1342" s="13"/>
    </row>
    <row r="1343" spans="1:42" ht="15.75">
      <c r="A1343" s="187"/>
      <c r="B1343" s="1833" t="s">
        <v>532</v>
      </c>
      <c r="C1343" s="250" t="s">
        <v>380</v>
      </c>
      <c r="D1343" s="251">
        <v>90</v>
      </c>
      <c r="E1343" s="251">
        <v>10</v>
      </c>
      <c r="F1343" s="251">
        <v>120</v>
      </c>
      <c r="G1343" s="328">
        <v>112</v>
      </c>
      <c r="H1343" s="453">
        <f t="shared" si="1055"/>
        <v>119.84</v>
      </c>
      <c r="I1343" s="453">
        <f t="shared" si="1056"/>
        <v>65.912000000000006</v>
      </c>
      <c r="J1343" s="1045">
        <f t="shared" si="1039"/>
        <v>61.6</v>
      </c>
      <c r="K1343" s="1094">
        <v>147</v>
      </c>
      <c r="L1343" s="322">
        <v>81</v>
      </c>
      <c r="M1343" s="323">
        <f t="shared" si="1040"/>
        <v>0.9</v>
      </c>
      <c r="N1343" s="1767">
        <f t="shared" si="1057"/>
        <v>73.5</v>
      </c>
      <c r="O1343" s="469">
        <f t="shared" si="1041"/>
        <v>0.19318181818181812</v>
      </c>
      <c r="P1343" s="472">
        <f t="shared" si="1058"/>
        <v>0.11512319456244668</v>
      </c>
      <c r="Q1343" s="336">
        <v>1.2235135135135136</v>
      </c>
      <c r="R1343" s="382">
        <f t="shared" si="1042"/>
        <v>57.545511081081088</v>
      </c>
      <c r="S1343" s="918">
        <f t="shared" si="1043"/>
        <v>6.5819625307125221E-2</v>
      </c>
      <c r="T1343" s="696">
        <f t="shared" si="1059"/>
        <v>0.12693422925899558</v>
      </c>
      <c r="U1343" s="1358">
        <v>0.90700000000000003</v>
      </c>
      <c r="V1343" s="1359">
        <f t="shared" si="1044"/>
        <v>1.1927049999999999</v>
      </c>
      <c r="W1343" s="1359">
        <f t="shared" si="1045"/>
        <v>56.096494264999997</v>
      </c>
      <c r="X1343" s="1360">
        <f>(ROUND(W1343/(1-$Z$1339),0))</f>
        <v>69</v>
      </c>
      <c r="Y1343" s="1359">
        <f t="shared" si="1046"/>
        <v>66.25</v>
      </c>
      <c r="Z1343" s="1360">
        <f t="shared" si="1047"/>
        <v>125</v>
      </c>
      <c r="AA1343" s="1361">
        <f t="shared" si="1048"/>
        <v>0.18700732949275367</v>
      </c>
      <c r="AB1343" s="1361">
        <f t="shared" si="1049"/>
        <v>0.15326046392452836</v>
      </c>
      <c r="AC1343" s="1696">
        <f t="shared" si="1050"/>
        <v>0.10943396226415092</v>
      </c>
      <c r="AD1343" s="1669">
        <f t="shared" si="1051"/>
        <v>0.20498165724206358</v>
      </c>
      <c r="AE1343" s="261">
        <f t="shared" si="1052"/>
        <v>1.5627325494865307</v>
      </c>
      <c r="AF1343" s="1359">
        <f>(V1343/(1-$Z$1339))</f>
        <v>1.4724753086419751</v>
      </c>
      <c r="AG1343" s="1896">
        <v>2.68</v>
      </c>
      <c r="AH1343" s="1361">
        <f t="shared" si="1053"/>
        <v>0.18999999999999992</v>
      </c>
      <c r="AI1343" s="77">
        <f t="shared" si="1060"/>
        <v>5.143832276938079E-2</v>
      </c>
      <c r="AJ1343" s="333">
        <v>211</v>
      </c>
      <c r="AK1343" s="270">
        <f t="shared" si="1054"/>
        <v>16.992083414727052</v>
      </c>
      <c r="AL1343" s="506">
        <f t="shared" si="1061"/>
        <v>-0.1131825435041571</v>
      </c>
      <c r="AM1343" s="77">
        <f t="shared" si="1062"/>
        <v>2.7360668067117925E-3</v>
      </c>
      <c r="AN1343" s="77">
        <f t="shared" si="1063"/>
        <v>1.8223811713436993E-3</v>
      </c>
      <c r="AO1343" s="13"/>
      <c r="AP1343" s="13"/>
    </row>
    <row r="1344" spans="1:42" ht="15.75">
      <c r="A1344" s="187"/>
      <c r="B1344" s="1833" t="s">
        <v>533</v>
      </c>
      <c r="C1344" s="250" t="s">
        <v>382</v>
      </c>
      <c r="D1344" s="251">
        <v>108</v>
      </c>
      <c r="E1344" s="251">
        <v>10</v>
      </c>
      <c r="F1344" s="251">
        <v>100</v>
      </c>
      <c r="G1344" s="328">
        <v>134</v>
      </c>
      <c r="H1344" s="453">
        <f t="shared" si="1055"/>
        <v>143.38</v>
      </c>
      <c r="I1344" s="453">
        <f t="shared" si="1056"/>
        <v>78.858999999999995</v>
      </c>
      <c r="J1344" s="1045">
        <f t="shared" si="1039"/>
        <v>73.699999999999989</v>
      </c>
      <c r="K1344" s="1094">
        <v>177</v>
      </c>
      <c r="L1344" s="322">
        <v>117</v>
      </c>
      <c r="M1344" s="335">
        <f t="shared" si="1040"/>
        <v>1.0833333333333333</v>
      </c>
      <c r="N1344" s="1767">
        <f t="shared" si="1057"/>
        <v>88.5</v>
      </c>
      <c r="O1344" s="469">
        <f t="shared" si="1041"/>
        <v>0.20081411126187265</v>
      </c>
      <c r="P1344" s="472">
        <f t="shared" si="1058"/>
        <v>0.12225617874941364</v>
      </c>
      <c r="Q1344" s="336">
        <v>1.5338600138600136</v>
      </c>
      <c r="R1344" s="382">
        <f t="shared" si="1042"/>
        <v>72.142038031878016</v>
      </c>
      <c r="S1344" s="918">
        <f t="shared" si="1043"/>
        <v>2.113923973028457E-2</v>
      </c>
      <c r="T1344" s="696">
        <f t="shared" si="1059"/>
        <v>8.5176859561013701E-2</v>
      </c>
      <c r="U1344" s="261">
        <v>1.113</v>
      </c>
      <c r="V1344" s="1359">
        <f t="shared" si="1044"/>
        <v>1.463595</v>
      </c>
      <c r="W1344" s="1359">
        <f t="shared" si="1045"/>
        <v>68.837263634999999</v>
      </c>
      <c r="X1344" s="1360">
        <f>(ROUND(W1344/(1-$Z$1339),0))</f>
        <v>85</v>
      </c>
      <c r="Y1344" s="1359">
        <f t="shared" si="1046"/>
        <v>82.15</v>
      </c>
      <c r="Z1344" s="1360">
        <f t="shared" si="1047"/>
        <v>155</v>
      </c>
      <c r="AA1344" s="1361">
        <f t="shared" si="1048"/>
        <v>0.19014983958823531</v>
      </c>
      <c r="AB1344" s="1361">
        <f t="shared" si="1049"/>
        <v>0.16205400322580651</v>
      </c>
      <c r="AC1344" s="1696">
        <f t="shared" si="1050"/>
        <v>7.7297626293365784E-2</v>
      </c>
      <c r="AD1344" s="1669">
        <f t="shared" si="1051"/>
        <v>0.18976855420197736</v>
      </c>
      <c r="AE1344" s="261">
        <f t="shared" si="1052"/>
        <v>1.8816575595858227</v>
      </c>
      <c r="AF1344" s="1359">
        <f>(V1344/(1-$Z$1339))</f>
        <v>1.8069074074074072</v>
      </c>
      <c r="AG1344" s="1896">
        <v>3.29</v>
      </c>
      <c r="AH1344" s="1361">
        <f t="shared" si="1053"/>
        <v>0.18999999999999992</v>
      </c>
      <c r="AI1344" s="77">
        <f t="shared" si="1060"/>
        <v>7.9473427596294485E-2</v>
      </c>
      <c r="AJ1344" s="333">
        <v>326</v>
      </c>
      <c r="AK1344" s="270">
        <f t="shared" si="1054"/>
        <v>10.570430861893128</v>
      </c>
      <c r="AL1344" s="506">
        <f t="shared" si="1061"/>
        <v>-7.0408567430112382E-2</v>
      </c>
      <c r="AM1344" s="77">
        <f t="shared" si="1062"/>
        <v>4.2272880520760397E-3</v>
      </c>
      <c r="AN1344" s="77">
        <f t="shared" si="1063"/>
        <v>1.1336664083822013E-3</v>
      </c>
      <c r="AO1344" s="13"/>
      <c r="AP1344" s="13"/>
    </row>
    <row r="1345" spans="1:42" ht="15.75">
      <c r="A1345" s="187"/>
      <c r="B1345" s="1833" t="s">
        <v>534</v>
      </c>
      <c r="C1345" s="250" t="s">
        <v>384</v>
      </c>
      <c r="D1345" s="251">
        <v>142</v>
      </c>
      <c r="E1345" s="251">
        <v>5</v>
      </c>
      <c r="F1345" s="699">
        <v>50</v>
      </c>
      <c r="G1345" s="328">
        <v>164</v>
      </c>
      <c r="H1345" s="453">
        <f t="shared" si="1055"/>
        <v>175.48000000000002</v>
      </c>
      <c r="I1345" s="453">
        <f t="shared" si="1056"/>
        <v>96.51400000000001</v>
      </c>
      <c r="J1345" s="1045">
        <f t="shared" si="1039"/>
        <v>90.2</v>
      </c>
      <c r="K1345" s="1094">
        <v>216</v>
      </c>
      <c r="L1345" s="322">
        <v>142</v>
      </c>
      <c r="M1345" s="323">
        <f t="shared" si="1040"/>
        <v>1</v>
      </c>
      <c r="N1345" s="1767">
        <f t="shared" si="1057"/>
        <v>108</v>
      </c>
      <c r="O1345" s="469">
        <f t="shared" si="1041"/>
        <v>0.19733924611973386</v>
      </c>
      <c r="P1345" s="472">
        <f t="shared" si="1058"/>
        <v>0.11900864123339616</v>
      </c>
      <c r="Q1345" s="336">
        <v>1.9110557620817847</v>
      </c>
      <c r="R1345" s="382">
        <f t="shared" si="1042"/>
        <v>89.882685657992582</v>
      </c>
      <c r="S1345" s="918">
        <f t="shared" si="1043"/>
        <v>3.517897361501343E-3</v>
      </c>
      <c r="T1345" s="696">
        <f t="shared" si="1059"/>
        <v>6.8708315291122812E-2</v>
      </c>
      <c r="U1345" s="261">
        <v>1.4630000000000001</v>
      </c>
      <c r="V1345" s="1359">
        <f t="shared" si="1044"/>
        <v>1.923845</v>
      </c>
      <c r="W1345" s="1359">
        <f t="shared" si="1045"/>
        <v>90.484201885000004</v>
      </c>
      <c r="X1345" s="1360">
        <f>(ROUND(W1345/(1-$AB$1339),0))</f>
        <v>105</v>
      </c>
      <c r="Y1345" s="1359">
        <f t="shared" si="1046"/>
        <v>101.23</v>
      </c>
      <c r="Z1345" s="1360">
        <f t="shared" si="1047"/>
        <v>191</v>
      </c>
      <c r="AA1345" s="1361">
        <f t="shared" si="1048"/>
        <v>0.13824569633333328</v>
      </c>
      <c r="AB1345" s="1361">
        <f t="shared" si="1049"/>
        <v>0.10615230776449668</v>
      </c>
      <c r="AC1345" s="1696">
        <f t="shared" si="1050"/>
        <v>6.6877407883038531E-2</v>
      </c>
      <c r="AD1345" s="1669">
        <f t="shared" si="1051"/>
        <v>0.1272742873746141</v>
      </c>
      <c r="AE1345" s="261">
        <f t="shared" si="1052"/>
        <v>2.2962600727149023</v>
      </c>
      <c r="AF1345" s="1359">
        <f>(V1345/(1-$AB$1339))</f>
        <v>2.2370290697674418</v>
      </c>
      <c r="AG1345" s="1896">
        <v>4.07</v>
      </c>
      <c r="AH1345" s="1361">
        <f t="shared" si="1053"/>
        <v>0.13999999999999996</v>
      </c>
      <c r="AI1345" s="77">
        <f t="shared" si="1060"/>
        <v>2.5597269624573378E-2</v>
      </c>
      <c r="AJ1345" s="333">
        <v>105</v>
      </c>
      <c r="AK1345" s="270">
        <f t="shared" si="1054"/>
        <v>0.70590429242649211</v>
      </c>
      <c r="AL1345" s="506">
        <f t="shared" si="1061"/>
        <v>-4.7019568664597496E-3</v>
      </c>
      <c r="AM1345" s="77">
        <f t="shared" si="1062"/>
        <v>1.3615498327238778E-3</v>
      </c>
      <c r="AN1345" s="77">
        <f t="shared" si="1063"/>
        <v>7.5707413852134744E-5</v>
      </c>
      <c r="AO1345" s="13"/>
      <c r="AP1345" s="13"/>
    </row>
    <row r="1346" spans="1:42" ht="15.75">
      <c r="A1346" s="187"/>
      <c r="B1346" s="1833" t="s">
        <v>535</v>
      </c>
      <c r="C1346" s="250" t="s">
        <v>386</v>
      </c>
      <c r="D1346" s="251">
        <v>160</v>
      </c>
      <c r="E1346" s="251">
        <v>5</v>
      </c>
      <c r="F1346" s="699">
        <v>30</v>
      </c>
      <c r="G1346" s="328">
        <v>186</v>
      </c>
      <c r="H1346" s="453">
        <f t="shared" si="1055"/>
        <v>199.02</v>
      </c>
      <c r="I1346" s="453">
        <f t="shared" si="1056"/>
        <v>109.461</v>
      </c>
      <c r="J1346" s="1045">
        <f t="shared" si="1039"/>
        <v>102.3</v>
      </c>
      <c r="K1346" s="1094">
        <v>267</v>
      </c>
      <c r="L1346" s="322">
        <v>178</v>
      </c>
      <c r="M1346" s="335">
        <f t="shared" si="1040"/>
        <v>1.1125</v>
      </c>
      <c r="N1346" s="1767">
        <f t="shared" si="1057"/>
        <v>133.5</v>
      </c>
      <c r="O1346" s="469">
        <f t="shared" si="1041"/>
        <v>0.30498533724340171</v>
      </c>
      <c r="P1346" s="472">
        <f t="shared" si="1058"/>
        <v>0.21961246471345963</v>
      </c>
      <c r="Q1346" s="336">
        <v>2.1501123595505618</v>
      </c>
      <c r="R1346" s="382">
        <f t="shared" si="1042"/>
        <v>101.12623460674158</v>
      </c>
      <c r="S1346" s="918">
        <f t="shared" si="1043"/>
        <v>1.1473757509857487E-2</v>
      </c>
      <c r="T1346" s="696">
        <f t="shared" si="1059"/>
        <v>7.6143698607343463E-2</v>
      </c>
      <c r="U1346" s="261">
        <v>1.6479999999999999</v>
      </c>
      <c r="V1346" s="1359">
        <f t="shared" si="1044"/>
        <v>2.1671199999999997</v>
      </c>
      <c r="W1346" s="1359">
        <f t="shared" si="1045"/>
        <v>101.92615495999999</v>
      </c>
      <c r="X1346" s="1360">
        <f>(ROUND(W1346/(1-$Z$1339),0))</f>
        <v>126</v>
      </c>
      <c r="Y1346" s="1359">
        <f t="shared" si="1046"/>
        <v>121.37</v>
      </c>
      <c r="Z1346" s="1360">
        <f t="shared" si="1047"/>
        <v>229</v>
      </c>
      <c r="AA1346" s="1361">
        <f t="shared" si="1048"/>
        <v>0.19106226222222231</v>
      </c>
      <c r="AB1346" s="1361">
        <f t="shared" si="1049"/>
        <v>0.16020305709812979</v>
      </c>
      <c r="AC1346" s="1696">
        <f t="shared" si="1050"/>
        <v>9.994232512152923E-2</v>
      </c>
      <c r="AD1346" s="1669">
        <f t="shared" si="1051"/>
        <v>0.20469604431960056</v>
      </c>
      <c r="AE1346" s="261">
        <f t="shared" si="1052"/>
        <v>2.8384325898836984</v>
      </c>
      <c r="AF1346" s="1359">
        <f>(V1346/(1-$Z$1339))</f>
        <v>2.6754567901234561</v>
      </c>
      <c r="AG1346" s="1896">
        <v>4.87</v>
      </c>
      <c r="AH1346" s="1361">
        <f t="shared" si="1053"/>
        <v>0.18999999999999989</v>
      </c>
      <c r="AI1346" s="77">
        <f t="shared" si="1060"/>
        <v>2.7303754266211604E-2</v>
      </c>
      <c r="AJ1346" s="333">
        <v>112</v>
      </c>
      <c r="AK1346" s="270">
        <f t="shared" si="1054"/>
        <v>2.7630251972322339</v>
      </c>
      <c r="AL1346" s="506">
        <f t="shared" si="1061"/>
        <v>-1.8404230485225815E-2</v>
      </c>
      <c r="AM1346" s="77">
        <f t="shared" si="1062"/>
        <v>1.4523198215721362E-3</v>
      </c>
      <c r="AN1346" s="77">
        <f t="shared" si="1063"/>
        <v>2.9633123687588235E-4</v>
      </c>
      <c r="AO1346" s="13"/>
      <c r="AP1346" s="13"/>
    </row>
    <row r="1347" spans="1:42" ht="16.5" thickBot="1">
      <c r="A1347" s="187"/>
      <c r="B1347" s="1833" t="s">
        <v>536</v>
      </c>
      <c r="C1347" s="250" t="s">
        <v>388</v>
      </c>
      <c r="D1347" s="250">
        <v>210</v>
      </c>
      <c r="E1347" s="251">
        <v>5</v>
      </c>
      <c r="F1347" s="250">
        <v>30</v>
      </c>
      <c r="G1347" s="328">
        <v>264</v>
      </c>
      <c r="H1347" s="453">
        <f t="shared" si="1055"/>
        <v>282.48</v>
      </c>
      <c r="I1347" s="453">
        <f t="shared" si="1056"/>
        <v>155.364</v>
      </c>
      <c r="J1347" s="1045">
        <f>G1347-G1347*$J$1279</f>
        <v>145.19999999999999</v>
      </c>
      <c r="K1347" s="1094">
        <v>397</v>
      </c>
      <c r="L1347" s="322">
        <v>274</v>
      </c>
      <c r="M1347" s="335">
        <f t="shared" si="1040"/>
        <v>1.3047619047619048</v>
      </c>
      <c r="N1347" s="1767">
        <f t="shared" si="1057"/>
        <v>198.5</v>
      </c>
      <c r="O1347" s="469">
        <f t="shared" si="1041"/>
        <v>0.36707988980716255</v>
      </c>
      <c r="P1347" s="475">
        <f t="shared" si="1058"/>
        <v>0.27764475682912382</v>
      </c>
      <c r="Q1347" s="336">
        <v>2.69</v>
      </c>
      <c r="R1347" s="382">
        <f t="shared" si="1042"/>
        <v>126.51877</v>
      </c>
      <c r="S1347" s="918">
        <f t="shared" si="1043"/>
        <v>0.1286586088154269</v>
      </c>
      <c r="T1347" s="919">
        <f t="shared" si="1059"/>
        <v>0.18566225122937102</v>
      </c>
      <c r="U1347" s="261">
        <v>2.1629999999999998</v>
      </c>
      <c r="V1347" s="1359">
        <f t="shared" si="1044"/>
        <v>2.8443449999999997</v>
      </c>
      <c r="W1347" s="1359">
        <f t="shared" si="1045"/>
        <v>133.77807838499999</v>
      </c>
      <c r="X1347" s="1360">
        <f>(ROUND(W1347/(1-$AC$1339),0))</f>
        <v>178</v>
      </c>
      <c r="Y1347" s="1359">
        <f t="shared" si="1046"/>
        <v>171.72</v>
      </c>
      <c r="Z1347" s="1360">
        <f t="shared" si="1047"/>
        <v>324</v>
      </c>
      <c r="AA1347" s="1361">
        <f t="shared" si="1048"/>
        <v>0.24843776188202255</v>
      </c>
      <c r="AB1347" s="1361">
        <f t="shared" si="1049"/>
        <v>0.22095225725017478</v>
      </c>
      <c r="AC1347" s="1696">
        <f t="shared" si="1050"/>
        <v>0.1559515490333101</v>
      </c>
      <c r="AD1347" s="1669">
        <f t="shared" si="1051"/>
        <v>0.29797397992758196</v>
      </c>
      <c r="AE1347" s="261">
        <f t="shared" si="1052"/>
        <v>4.2204409669806306</v>
      </c>
      <c r="AF1347" s="1359">
        <f>(V1347/(1-$AC$1339))</f>
        <v>3.7924599999999997</v>
      </c>
      <c r="AG1347" s="1896">
        <v>6.9</v>
      </c>
      <c r="AH1347" s="1361">
        <f t="shared" si="1053"/>
        <v>0.25000000000000006</v>
      </c>
      <c r="AI1347" s="77">
        <f t="shared" si="1060"/>
        <v>8.7762067284251587E-3</v>
      </c>
      <c r="AJ1347" s="333">
        <v>36</v>
      </c>
      <c r="AK1347" s="270">
        <f t="shared" si="1054"/>
        <v>12.459299677685941</v>
      </c>
      <c r="AL1347" s="506">
        <f t="shared" si="1061"/>
        <v>-8.2990130955855571E-2</v>
      </c>
      <c r="AM1347" s="77">
        <f t="shared" si="1062"/>
        <v>4.668170855053295E-4</v>
      </c>
      <c r="AN1347" s="77">
        <f t="shared" si="1063"/>
        <v>1.3362453906661336E-3</v>
      </c>
      <c r="AO1347" s="13"/>
      <c r="AP1347" s="13"/>
    </row>
    <row r="1348" spans="1:42" ht="15.75" thickBot="1">
      <c r="A1348" s="187"/>
      <c r="B1348" s="412"/>
      <c r="C1348" s="413"/>
      <c r="D1348" s="413"/>
      <c r="E1348" s="414"/>
      <c r="F1348" s="413"/>
      <c r="G1348" s="415"/>
      <c r="H1348" s="416"/>
      <c r="I1348" s="416"/>
      <c r="J1348" s="1042"/>
      <c r="K1348" s="779"/>
      <c r="L1348" s="779"/>
      <c r="M1348" s="816"/>
      <c r="N1348" s="1771"/>
      <c r="O1348" s="817"/>
      <c r="P1348" s="1209"/>
      <c r="Q1348" s="1091"/>
      <c r="R1348" s="1092"/>
      <c r="S1348" s="1092"/>
      <c r="T1348" s="365"/>
      <c r="U1348" s="366"/>
      <c r="V1348" s="366"/>
      <c r="W1348" s="366"/>
      <c r="X1348" s="366"/>
      <c r="Y1348" s="366"/>
      <c r="Z1348" s="366"/>
      <c r="AA1348" s="367"/>
      <c r="AB1348" s="367"/>
      <c r="AC1348" s="367"/>
      <c r="AD1348" s="367">
        <f>AVERAGE(AD1341:AD1347)</f>
        <v>0.16973367937213404</v>
      </c>
      <c r="AE1348" s="366"/>
      <c r="AF1348" s="366"/>
      <c r="AG1348" s="1872"/>
      <c r="AH1348" s="367"/>
      <c r="AI1348" s="512">
        <f>S1341*AI1341+S1342*AI1342+S1343*AI1343+S1344*AI1344+S1345*AI1345+S1346*AI1346+S1347*AI1347</f>
        <v>-3.8858894203515647E-2</v>
      </c>
      <c r="AJ1348" s="513">
        <f>SUM(AJ1341:AJ1347)</f>
        <v>4102</v>
      </c>
      <c r="AK1348" s="514">
        <f>SUM(AK1341:AK1347)</f>
        <v>-150.12989537651578</v>
      </c>
      <c r="AM1348" s="307">
        <f>SUM(AM1341:AM1347)</f>
        <v>5.3191213465079483E-2</v>
      </c>
      <c r="AN1348" s="307">
        <f>SUM(AN1341:AN1347)</f>
        <v>-1.6101256562384678E-2</v>
      </c>
      <c r="AO1348" s="13"/>
      <c r="AP1348" s="13"/>
    </row>
    <row r="1349" spans="1:42">
      <c r="A1349" s="187"/>
      <c r="B1349" s="412"/>
      <c r="C1349" s="413"/>
      <c r="D1349" s="413"/>
      <c r="E1349" s="414"/>
      <c r="F1349" s="413"/>
      <c r="G1349" s="415"/>
      <c r="H1349" s="416"/>
      <c r="I1349" s="416"/>
      <c r="J1349" s="1042"/>
      <c r="K1349" s="779"/>
      <c r="L1349" s="779"/>
      <c r="M1349" s="816"/>
      <c r="N1349" s="1771"/>
      <c r="O1349" s="817"/>
      <c r="P1349" s="817"/>
      <c r="AO1349" s="13"/>
      <c r="AP1349" s="13"/>
    </row>
    <row r="1350" spans="1:42">
      <c r="A1350" s="187"/>
      <c r="B1350" s="412"/>
      <c r="C1350" s="413"/>
      <c r="D1350" s="413"/>
      <c r="E1350" s="414"/>
      <c r="F1350" s="413"/>
      <c r="G1350" s="415"/>
      <c r="H1350" s="416"/>
      <c r="I1350" s="416"/>
      <c r="J1350" s="1042"/>
      <c r="K1350" s="779"/>
      <c r="L1350" s="779"/>
      <c r="M1350" s="816"/>
      <c r="N1350" s="1771"/>
      <c r="O1350" s="817"/>
      <c r="P1350" s="817"/>
      <c r="AO1350" s="13"/>
      <c r="AP1350" s="13"/>
    </row>
    <row r="1351" spans="1:42">
      <c r="A1351" s="149" t="s">
        <v>173</v>
      </c>
      <c r="J1351" s="532"/>
      <c r="K1351" s="533"/>
      <c r="N1351" s="1756"/>
      <c r="AO1351" s="13"/>
      <c r="AP1351" s="13"/>
    </row>
    <row r="1352" spans="1:42">
      <c r="A1352" s="187"/>
      <c r="B1352" s="157"/>
      <c r="C1352" s="157" t="s">
        <v>174</v>
      </c>
      <c r="J1352" s="532"/>
      <c r="K1352" s="533"/>
      <c r="N1352" s="1756"/>
      <c r="AO1352" s="13"/>
      <c r="AP1352" s="13"/>
    </row>
    <row r="1353" spans="1:42" ht="15.75" thickBot="1">
      <c r="A1353" s="187"/>
      <c r="C1353" s="148" t="s">
        <v>9</v>
      </c>
      <c r="J1353" s="532"/>
      <c r="K1353" s="1850" t="s">
        <v>1496</v>
      </c>
      <c r="L1353" s="1850"/>
      <c r="M1353" s="1850"/>
      <c r="N1353" s="898"/>
      <c r="O1353" s="899"/>
      <c r="P1353" s="459"/>
      <c r="U1353" s="309"/>
      <c r="V1353" s="309"/>
      <c r="W1353" s="309"/>
      <c r="X1353" s="309"/>
      <c r="Y1353" s="309"/>
      <c r="Z1353" s="309"/>
      <c r="AA1353" s="346">
        <v>0.09</v>
      </c>
      <c r="AB1353" s="628">
        <v>0.15</v>
      </c>
      <c r="AC1353" s="628"/>
      <c r="AD1353" s="585"/>
      <c r="AE1353" s="188"/>
      <c r="AF1353" s="188"/>
      <c r="AG1353" s="1866"/>
      <c r="AH1353" s="1851"/>
      <c r="AO1353" s="13"/>
      <c r="AP1353" s="13"/>
    </row>
    <row r="1354" spans="1:42" ht="60.75" thickBot="1">
      <c r="A1354" s="271"/>
      <c r="B1354" s="189" t="s">
        <v>10</v>
      </c>
      <c r="C1354" s="190" t="s">
        <v>11</v>
      </c>
      <c r="D1354" s="190" t="s">
        <v>12</v>
      </c>
      <c r="E1354" s="190" t="s">
        <v>13</v>
      </c>
      <c r="F1354" s="190" t="s">
        <v>14</v>
      </c>
      <c r="G1354" s="191" t="s">
        <v>15</v>
      </c>
      <c r="H1354" s="347" t="s">
        <v>1090</v>
      </c>
      <c r="I1354" s="347">
        <f>$C$22</f>
        <v>0.45</v>
      </c>
      <c r="J1354" s="873">
        <f>$C$22</f>
        <v>0.45</v>
      </c>
      <c r="K1354" s="601" t="s">
        <v>15</v>
      </c>
      <c r="L1354" s="315" t="s">
        <v>12</v>
      </c>
      <c r="M1354" s="316" t="s">
        <v>1091</v>
      </c>
      <c r="N1354" s="605" t="s">
        <v>993</v>
      </c>
      <c r="O1354" s="317" t="s">
        <v>1092</v>
      </c>
      <c r="P1354" s="602" t="s">
        <v>1092</v>
      </c>
      <c r="Q1354" s="875" t="s">
        <v>1093</v>
      </c>
      <c r="R1354" s="876" t="s">
        <v>1094</v>
      </c>
      <c r="S1354" s="1126" t="s">
        <v>1095</v>
      </c>
      <c r="T1354" s="1376" t="s">
        <v>1095</v>
      </c>
      <c r="U1354" s="204" t="s">
        <v>1096</v>
      </c>
      <c r="V1354" s="205" t="s">
        <v>1093</v>
      </c>
      <c r="W1354" s="206" t="s">
        <v>1094</v>
      </c>
      <c r="X1354" s="207" t="s">
        <v>1097</v>
      </c>
      <c r="Y1354" s="208">
        <v>0.49</v>
      </c>
      <c r="Z1354" s="207" t="s">
        <v>1098</v>
      </c>
      <c r="AA1354" s="209" t="s">
        <v>1099</v>
      </c>
      <c r="AB1354" s="209" t="s">
        <v>1100</v>
      </c>
      <c r="AC1354" s="210" t="s">
        <v>1092</v>
      </c>
      <c r="AD1354" s="211" t="s">
        <v>1101</v>
      </c>
      <c r="AE1354" s="212" t="s">
        <v>1102</v>
      </c>
      <c r="AF1354" s="208" t="s">
        <v>1103</v>
      </c>
      <c r="AG1354" s="1867" t="s">
        <v>1104</v>
      </c>
      <c r="AH1354" s="213" t="s">
        <v>1105</v>
      </c>
      <c r="AI1354" s="220" t="s">
        <v>1106</v>
      </c>
      <c r="AJ1354" s="483" t="s">
        <v>1107</v>
      </c>
      <c r="AK1354" s="484" t="s">
        <v>1108</v>
      </c>
      <c r="AL1354" s="221" t="s">
        <v>1109</v>
      </c>
      <c r="AM1354" s="221" t="s">
        <v>1175</v>
      </c>
      <c r="AN1354" s="221" t="s">
        <v>1176</v>
      </c>
      <c r="AO1354" s="13"/>
      <c r="AP1354" s="13"/>
    </row>
    <row r="1355" spans="1:42" ht="15.75">
      <c r="A1355" s="187"/>
      <c r="B1355" s="250" t="s">
        <v>537</v>
      </c>
      <c r="C1355" s="250" t="s">
        <v>376</v>
      </c>
      <c r="D1355" s="251">
        <v>105</v>
      </c>
      <c r="E1355" s="251">
        <v>10</v>
      </c>
      <c r="F1355" s="251">
        <v>90</v>
      </c>
      <c r="G1355" s="328">
        <v>125</v>
      </c>
      <c r="H1355" s="453">
        <f>G1355*(1+$H$33)</f>
        <v>133.75</v>
      </c>
      <c r="I1355" s="453">
        <f>H1355-H1355*$J$1239</f>
        <v>73.5625</v>
      </c>
      <c r="J1355" s="1045">
        <f>G1355-G1355*$J$1239</f>
        <v>68.75</v>
      </c>
      <c r="K1355" s="1046">
        <v>160</v>
      </c>
      <c r="L1355" s="322">
        <v>110</v>
      </c>
      <c r="M1355" s="335">
        <f>L1355/D1355*100%</f>
        <v>1.0476190476190477</v>
      </c>
      <c r="N1355" s="1767">
        <f>K1355-(K1355*$O$33)</f>
        <v>80</v>
      </c>
      <c r="O1355" s="469">
        <f>((N1355/J1355)-1)*100%</f>
        <v>0.16363636363636358</v>
      </c>
      <c r="P1355" s="472">
        <f>((N1355/I1355)-1)*100%</f>
        <v>8.7510620220900615E-2</v>
      </c>
      <c r="Q1355" s="336">
        <v>1.6097331143502362</v>
      </c>
      <c r="R1355" s="382">
        <f>Q1355*$R$33</f>
        <v>75.710577567234665</v>
      </c>
      <c r="S1355" s="918">
        <f>((J1355-R1355)/J1355)*100%</f>
        <v>-0.1012447646143224</v>
      </c>
      <c r="T1355" s="696">
        <f>((I1355-R1355)/I1355)*100%</f>
        <v>-2.9200714592824677E-2</v>
      </c>
      <c r="U1355" s="1358">
        <v>1.2569999999999999</v>
      </c>
      <c r="V1355" s="1359">
        <f>U1355*$U$1234</f>
        <v>1.6529549999999997</v>
      </c>
      <c r="W1355" s="1359">
        <f>V1355*$R$33</f>
        <v>77.743432514999995</v>
      </c>
      <c r="X1355" s="1360">
        <f>(ROUND(W1355/(1-$AA$1353),0))</f>
        <v>85</v>
      </c>
      <c r="Y1355" s="1359">
        <f>Z1355*(1-$X$1235)</f>
        <v>82.15</v>
      </c>
      <c r="Z1355" s="1360">
        <f>ROUND(X1355/(1-$X$1234),0)</f>
        <v>155</v>
      </c>
      <c r="AA1355" s="1361">
        <f>((X1355-W1355)/X1355)*100%</f>
        <v>8.5371382176470653E-2</v>
      </c>
      <c r="AB1355" s="1361">
        <f>((Y1355-W1355)/Y1355)*100%</f>
        <v>5.3640504990870488E-2</v>
      </c>
      <c r="AC1355" s="1362">
        <f>((N1355/Y1355)-1)*100%</f>
        <v>-2.6171637248934898E-2</v>
      </c>
      <c r="AD1355" s="1669">
        <f>((N1355*0.96-W1355)/(N1355*0.96))*100%</f>
        <v>-1.2284277539062471E-2</v>
      </c>
      <c r="AE1355" s="261">
        <f>N1355/$R$33</f>
        <v>1.7009333871962238</v>
      </c>
      <c r="AF1355" s="1359">
        <f>(V1355/(1-$AA$1353))</f>
        <v>1.8164340659340656</v>
      </c>
      <c r="AG1355" s="1896">
        <v>3.3</v>
      </c>
      <c r="AH1355" s="1361">
        <f>((AF1355-V1355)/AF1355)*100%</f>
        <v>9.0000000000000011E-2</v>
      </c>
      <c r="AI1355" s="92">
        <f>AJ1355/$AJ$1357</f>
        <v>0.88100336494340781</v>
      </c>
      <c r="AJ1355" s="338">
        <v>2880</v>
      </c>
      <c r="AK1355" s="297">
        <f>Q1355*S1355*AJ1355</f>
        <v>-469.37390473229698</v>
      </c>
      <c r="AL1355" s="866">
        <f>AK1355/$AK$1357</f>
        <v>0.86188018870150118</v>
      </c>
      <c r="AM1355" s="92">
        <f>AJ1355/$AJ$1359</f>
        <v>3.7345366840426358E-2</v>
      </c>
      <c r="AN1355" s="92">
        <f>AK1355/$AK$1359</f>
        <v>-5.0339805039024958E-2</v>
      </c>
      <c r="AO1355" s="13"/>
      <c r="AP1355" s="13"/>
    </row>
    <row r="1356" spans="1:42" ht="16.5" thickBot="1">
      <c r="A1356" s="187"/>
      <c r="B1356" s="699" t="s">
        <v>538</v>
      </c>
      <c r="C1356" s="250" t="s">
        <v>380</v>
      </c>
      <c r="D1356" s="251">
        <v>111</v>
      </c>
      <c r="E1356" s="251">
        <v>10</v>
      </c>
      <c r="F1356" s="251">
        <v>40</v>
      </c>
      <c r="G1356" s="328">
        <v>155</v>
      </c>
      <c r="H1356" s="453">
        <f>G1356*(1+$H$33)</f>
        <v>165.85000000000002</v>
      </c>
      <c r="I1356" s="453">
        <f>H1356-H1356*$J$1239</f>
        <v>91.217500000000015</v>
      </c>
      <c r="J1356" s="1045">
        <f>G1356-G1356*$J$1239</f>
        <v>85.25</v>
      </c>
      <c r="K1356" s="1046">
        <v>217</v>
      </c>
      <c r="L1356" s="322">
        <v>144</v>
      </c>
      <c r="M1356" s="335">
        <f>L1356/D1356*100%</f>
        <v>1.2972972972972974</v>
      </c>
      <c r="N1356" s="1767">
        <f>K1356-(K1356*$O$33)</f>
        <v>108.5</v>
      </c>
      <c r="O1356" s="469">
        <f>((N1356/J1356)-1)*100%</f>
        <v>0.27272727272727271</v>
      </c>
      <c r="P1356" s="475">
        <f>((N1356/I1356)-1)*100%</f>
        <v>0.18946474086660992</v>
      </c>
      <c r="Q1356" s="336">
        <v>1.988787878787879</v>
      </c>
      <c r="R1356" s="382">
        <f>Q1356*$R$33</f>
        <v>93.538660303030312</v>
      </c>
      <c r="S1356" s="918">
        <f>((J1356-R1356)/J1356)*100%</f>
        <v>-9.7227686839065242E-2</v>
      </c>
      <c r="T1356" s="919">
        <f>((I1356-R1356)/I1356)*100%</f>
        <v>-2.5446436298191644E-2</v>
      </c>
      <c r="U1356" s="1358">
        <v>1.5449999999999999</v>
      </c>
      <c r="V1356" s="1359">
        <f>U1356*$U$1234</f>
        <v>2.0316749999999999</v>
      </c>
      <c r="W1356" s="1359">
        <f>V1356*$R$33</f>
        <v>95.555770275</v>
      </c>
      <c r="X1356" s="1360">
        <f>(ROUND(W1356/(1-$AB$1353),0))</f>
        <v>112</v>
      </c>
      <c r="Y1356" s="1359">
        <f>Z1356*(1-$X$1235)</f>
        <v>108.12</v>
      </c>
      <c r="Z1356" s="1360">
        <f>ROUND(X1356/(1-$X$1234),0)</f>
        <v>204</v>
      </c>
      <c r="AA1356" s="1361">
        <f>((X1356-W1356)/X1356)*100%</f>
        <v>0.14682347968750001</v>
      </c>
      <c r="AB1356" s="1361">
        <f>((Y1356-W1356)/Y1356)*100%</f>
        <v>0.11620634225860159</v>
      </c>
      <c r="AC1356" s="1696">
        <f>((N1356/Y1356)-1)*100%</f>
        <v>3.5146133925267886E-3</v>
      </c>
      <c r="AD1356" s="1669">
        <f>((N1356*0.96-W1356)/(N1356*0.96))*100%</f>
        <v>8.2605892137096737E-2</v>
      </c>
      <c r="AE1356" s="261">
        <f>N1356/$R$33</f>
        <v>2.3068909063848788</v>
      </c>
      <c r="AF1356" s="1359">
        <f>(V1356/(1-$AB$1353))</f>
        <v>2.3902058823529413</v>
      </c>
      <c r="AG1356" s="1896">
        <v>4.3499999999999996</v>
      </c>
      <c r="AH1356" s="1361">
        <f>((AF1356-V1356)/AF1356)*100%</f>
        <v>0.15000000000000008</v>
      </c>
      <c r="AI1356" s="77">
        <f>AJ1356/$AJ$1357</f>
        <v>0.11899663505659223</v>
      </c>
      <c r="AJ1356" s="333">
        <v>389</v>
      </c>
      <c r="AK1356" s="270">
        <f>Q1356*S1356*AJ1356</f>
        <v>-75.219080331497423</v>
      </c>
      <c r="AL1356" s="506">
        <f>AK1356/$AK$1357</f>
        <v>0.13811981129849873</v>
      </c>
      <c r="AM1356" s="77">
        <f>AJ1356/$AJ$1359</f>
        <v>5.044217951710366E-3</v>
      </c>
      <c r="AN1356" s="77">
        <f>AK1356/$AK$1359</f>
        <v>-8.0671588278047532E-3</v>
      </c>
      <c r="AO1356" s="13"/>
      <c r="AP1356" s="13"/>
    </row>
    <row r="1357" spans="1:42" ht="48" thickBot="1">
      <c r="A1357" s="187"/>
      <c r="B1357" s="2383" t="s">
        <v>1497</v>
      </c>
      <c r="C1357" s="2384"/>
      <c r="D1357" s="2384"/>
      <c r="E1357" s="2385"/>
      <c r="F1357" s="1834" t="s">
        <v>1498</v>
      </c>
      <c r="G1357" s="1835">
        <f>AVERAGE(O1240:O1246,O1250:O1256,O1260:O1263,O1271:O1276,O1280:O1298,O1302:O1308,O1312:O1318,O1324:O1327,O1331:O1337,O1341:O1347,O1355:O1356)</f>
        <v>0.20894390549540715</v>
      </c>
      <c r="H1357" s="1836"/>
      <c r="I1357" s="1836"/>
      <c r="J1357" s="1837" t="s">
        <v>1244</v>
      </c>
      <c r="K1357" s="1838">
        <f>AVERAGE(M1240:M1246,M1250:M1256,M1260:M1263,M1271:M1276,M1280:M1298,M1302:M1308,M1312:M1318,M1324:M1327,M1331:M1337,M1341:M1347,M1355:M1356)</f>
        <v>1.0878762149682095</v>
      </c>
      <c r="L1357" s="977" t="s">
        <v>1135</v>
      </c>
      <c r="N1357" s="1756"/>
      <c r="P1357" s="886"/>
      <c r="R1357" s="1822" t="s">
        <v>1133</v>
      </c>
      <c r="S1357" s="615">
        <f>AVERAGE(S1240:S1246,S1250:S1256,S1260:S1263,S1271:S1276,S1280:S1298,S1304:S1309,S1302:S1308,S1312:S1318,S1324:S1327,S1331:S1337,S1341:S1347,S1355:S1356)</f>
        <v>0.10632653242766943</v>
      </c>
      <c r="T1357" s="365"/>
      <c r="U1357" s="2375" t="s">
        <v>1499</v>
      </c>
      <c r="V1357" s="2375"/>
      <c r="W1357" s="2375"/>
      <c r="X1357" s="2375"/>
      <c r="Y1357" s="2375"/>
      <c r="Z1357" s="366"/>
      <c r="AA1357" s="367"/>
      <c r="AB1357" s="367"/>
      <c r="AC1357" s="367"/>
      <c r="AD1357" s="367">
        <f>AVERAGE(AD1355:AD1356)</f>
        <v>3.5160807299017133E-2</v>
      </c>
      <c r="AE1357" s="366"/>
      <c r="AF1357" s="366"/>
      <c r="AG1357" s="1872"/>
      <c r="AH1357" s="367"/>
      <c r="AI1357" s="512">
        <f>S1355*AI1355+S1356*AI1356</f>
        <v>-0.10076674587630619</v>
      </c>
      <c r="AJ1357" s="513">
        <f>SUM(AJ1355:AJ1356)</f>
        <v>3269</v>
      </c>
      <c r="AK1357" s="514">
        <f>SUM(AK1355:AK1356)</f>
        <v>-544.59298506379446</v>
      </c>
      <c r="AM1357" s="307">
        <f>SUM(AM1355:AM1356)</f>
        <v>4.2389584792136725E-2</v>
      </c>
      <c r="AN1357" s="307">
        <f>SUM(AN1355:AN1356)</f>
        <v>-5.8406963866829711E-2</v>
      </c>
      <c r="AO1357" s="13"/>
      <c r="AP1357" s="13"/>
    </row>
    <row r="1358" spans="1:42" ht="15.75" thickBot="1">
      <c r="AI1358" s="2335" t="s">
        <v>1500</v>
      </c>
      <c r="AJ1358" s="2336"/>
      <c r="AK1358" s="2336"/>
      <c r="AL1358" s="2336"/>
      <c r="AM1358" s="2336"/>
      <c r="AN1358" s="2337"/>
      <c r="AO1358" s="13"/>
      <c r="AP1358" s="13"/>
    </row>
    <row r="1359" spans="1:42" ht="35.25" customHeight="1" thickBot="1">
      <c r="P1359" s="829">
        <f>AVERAGE(P1240:P1246,P1250:P1256,P1260:P1263,P1271:P1275,P1280:P1298,P1302:P1308,P1312:P1318,P1324:P1327,P1331:P1337,P1341:P1347,P1355:P1356)</f>
        <v>0.12992195036061471</v>
      </c>
      <c r="S1359" s="525">
        <f>AVERAGE(T1240:T1246,T1250:T1256,T1260:T1262,T1271:T1276,T1280:T1297,T1302:T1308,T1312:T1318,T1324:T1327,T1331:T1337,T1341:T1347,T1355:T1356)</f>
        <v>0.16640640767770673</v>
      </c>
      <c r="U1359" s="2376" t="s">
        <v>1501</v>
      </c>
      <c r="V1359" s="2377"/>
      <c r="W1359" s="2377"/>
      <c r="X1359" s="2377"/>
      <c r="Y1359" s="2377"/>
      <c r="Z1359" s="2378"/>
      <c r="AA1359" s="1754">
        <f>AVERAGE(AA1240:AA1246,AA1250:AA1256,AA1260:AA1263,AA1271:AA1276,AA1280:AA1298,AA1302:AA1308,AA1312:AA1318,AA1324:AA1327,AA1331:AA1337,AA1341:AA1348,AA1355:AA1356)</f>
        <v>0.21556066882631425</v>
      </c>
      <c r="AB1359" s="1755">
        <f>AVERAGE(AB1240:AB1246,AB1250:AB1256,AB1260:AB1263,AB1271:AB1276,AB1280:AB1298,AB1302:AB1308,AB1312:AB1318,AB1324:AB1327,AB1331:AB1337,AB1341:AB1347,AB1355:AB1356)</f>
        <v>0.18608512459537976</v>
      </c>
      <c r="AC1359" s="1754">
        <f>AVERAGE(AC1240:AC1246,AC1250:AC1256,AC1260:AC1263,AC1271:AC1276,AC1280:AC1298,AC1302:AC1308,AC1312:AC1318,AC1324:AC1327,AC1331:AC1337,AC1341:AC1347,AC1355:AC1356)</f>
        <v>9.5668072404395343E-2</v>
      </c>
      <c r="AD1359" s="1754"/>
      <c r="AE1359" s="2379"/>
      <c r="AF1359" s="2380"/>
      <c r="AG1359" s="2381"/>
      <c r="AH1359" s="1754">
        <f>AVERAGE(AH1240:AH1246,AH1250:AH1256,AH1260:AH1263,AH1271:AH1276,AH1280:AH1298,AH1302:AH1308,AH1312:AH1318,AH1324:AH1327,AH1331:AH1337,AH1341:AH1347,AH1355:AH1356)</f>
        <v>0.2159740259740259</v>
      </c>
      <c r="AI1359" s="838">
        <f>AVERAGE(AI1247,AI1257,AI1264,AI1277,AI1299,AI1309,AI1319,AI1328,AI1338,AI1348,AI1357)</f>
        <v>6.8514787716719192E-2</v>
      </c>
      <c r="AJ1359" s="839">
        <f>SUM(AJ1247,AJ1257,AJ1264,AJ1277,AJ1299,AJ1309,AJ1319,AJ1328,AJ1338,AJ1348,AJ1357)</f>
        <v>77118</v>
      </c>
      <c r="AK1359" s="840">
        <f>SUM(AK1247,AK1257,AK1264,AK1277,AK1299,AK1309,AK1319,AK1328,AK1338,AK1348,AK1357)</f>
        <v>9324.1104999994332</v>
      </c>
      <c r="AL1359" s="841"/>
      <c r="AM1359" s="842">
        <f>SUM(AM1247,AM1257,AM1264,AM1277,AM1299,AM1309,AM1319,AM1328,AM1338,AM1348,AM1357)</f>
        <v>0.99999999999999989</v>
      </c>
      <c r="AN1359" s="842">
        <f>SUM(AN1247,AN1257,AN1264,AN1277,AN1299,AN1309,AN1319,AN1328,AN1338,AN1348,AN1357)</f>
        <v>1.0000000000000002</v>
      </c>
      <c r="AO1359" s="13"/>
      <c r="AP1359" s="13"/>
    </row>
    <row r="1361" spans="18:18">
      <c r="R1361" s="147"/>
    </row>
  </sheetData>
  <sheetProtection password="CAA7" sheet="1" objects="1" scenarios="1"/>
  <mergeCells count="312">
    <mergeCell ref="AI1358:AN1358"/>
    <mergeCell ref="U1359:Z1359"/>
    <mergeCell ref="AE1359:AG1359"/>
    <mergeCell ref="AI1225:AN1225"/>
    <mergeCell ref="A1226:J1226"/>
    <mergeCell ref="AB1226:AF1226"/>
    <mergeCell ref="A1230:E1230"/>
    <mergeCell ref="A1233:F1233"/>
    <mergeCell ref="B1357:E1357"/>
    <mergeCell ref="U1357:Y1357"/>
    <mergeCell ref="A1103:E1103"/>
    <mergeCell ref="A1105:J1105"/>
    <mergeCell ref="K1113:O1113"/>
    <mergeCell ref="B1225:E1225"/>
    <mergeCell ref="U1225:Z1225"/>
    <mergeCell ref="AE1225:AG1225"/>
    <mergeCell ref="K1092:O1092"/>
    <mergeCell ref="K1096:O1096"/>
    <mergeCell ref="U1100:Z1100"/>
    <mergeCell ref="AE1100:AG1100"/>
    <mergeCell ref="AI1100:AN1100"/>
    <mergeCell ref="AB1101:AF1101"/>
    <mergeCell ref="K1057:O1057"/>
    <mergeCell ref="K1065:O1065"/>
    <mergeCell ref="K1072:O1072"/>
    <mergeCell ref="K1077:O1077"/>
    <mergeCell ref="K1082:O1082"/>
    <mergeCell ref="K1086:O1086"/>
    <mergeCell ref="K997:O997"/>
    <mergeCell ref="K1018:O1018"/>
    <mergeCell ref="K1027:O1027"/>
    <mergeCell ref="A1036:J1036"/>
    <mergeCell ref="K1038:O1038"/>
    <mergeCell ref="K1051:O1051"/>
    <mergeCell ref="K930:O930"/>
    <mergeCell ref="K936:O936"/>
    <mergeCell ref="K947:O947"/>
    <mergeCell ref="K957:O957"/>
    <mergeCell ref="K966:O966"/>
    <mergeCell ref="K977:O977"/>
    <mergeCell ref="K881:O881"/>
    <mergeCell ref="K890:O890"/>
    <mergeCell ref="K899:O899"/>
    <mergeCell ref="K904:O904"/>
    <mergeCell ref="K914:O914"/>
    <mergeCell ref="K920:O920"/>
    <mergeCell ref="K832:O832"/>
    <mergeCell ref="Q832:S832"/>
    <mergeCell ref="K841:O841"/>
    <mergeCell ref="K850:O850"/>
    <mergeCell ref="K858:O858"/>
    <mergeCell ref="K867:O867"/>
    <mergeCell ref="U765:Z765"/>
    <mergeCell ref="AI765:AN765"/>
    <mergeCell ref="C811:F811"/>
    <mergeCell ref="AI815:AN815"/>
    <mergeCell ref="U816:Z816"/>
    <mergeCell ref="A821:G821"/>
    <mergeCell ref="C731:G731"/>
    <mergeCell ref="C737:G737"/>
    <mergeCell ref="A742:G742"/>
    <mergeCell ref="AI744:AN744"/>
    <mergeCell ref="B745:E745"/>
    <mergeCell ref="U745:Z745"/>
    <mergeCell ref="B707:G707"/>
    <mergeCell ref="B711:G711"/>
    <mergeCell ref="C716:G716"/>
    <mergeCell ref="C722:G722"/>
    <mergeCell ref="B727:G727"/>
    <mergeCell ref="K727:O727"/>
    <mergeCell ref="A675:G675"/>
    <mergeCell ref="A684:J684"/>
    <mergeCell ref="A685:F685"/>
    <mergeCell ref="K692:O692"/>
    <mergeCell ref="B697:G697"/>
    <mergeCell ref="B702:G702"/>
    <mergeCell ref="A632:J633"/>
    <mergeCell ref="K633:O633"/>
    <mergeCell ref="A648:J649"/>
    <mergeCell ref="A655:J655"/>
    <mergeCell ref="K668:O668"/>
    <mergeCell ref="C674:M674"/>
    <mergeCell ref="AI586:AN586"/>
    <mergeCell ref="A589:G589"/>
    <mergeCell ref="A591:G591"/>
    <mergeCell ref="A592:G592"/>
    <mergeCell ref="A616:J617"/>
    <mergeCell ref="K617:O617"/>
    <mergeCell ref="A570:G571"/>
    <mergeCell ref="A573:G573"/>
    <mergeCell ref="C574:D574"/>
    <mergeCell ref="C580:F580"/>
    <mergeCell ref="E581:G581"/>
    <mergeCell ref="U586:Z586"/>
    <mergeCell ref="K539:O539"/>
    <mergeCell ref="B543:G543"/>
    <mergeCell ref="A545:G545"/>
    <mergeCell ref="A546:G547"/>
    <mergeCell ref="A549:G549"/>
    <mergeCell ref="A569:G569"/>
    <mergeCell ref="U514:Z514"/>
    <mergeCell ref="AI514:AN514"/>
    <mergeCell ref="A518:G518"/>
    <mergeCell ref="A519:G520"/>
    <mergeCell ref="A522:G522"/>
    <mergeCell ref="K525:O525"/>
    <mergeCell ref="U469:Z469"/>
    <mergeCell ref="A474:J474"/>
    <mergeCell ref="A476:J476"/>
    <mergeCell ref="K487:O487"/>
    <mergeCell ref="N491:R491"/>
    <mergeCell ref="A495:K495"/>
    <mergeCell ref="U440:Z440"/>
    <mergeCell ref="AI441:AN441"/>
    <mergeCell ref="A443:J443"/>
    <mergeCell ref="A447:J447"/>
    <mergeCell ref="K453:O453"/>
    <mergeCell ref="U463:Z463"/>
    <mergeCell ref="AI463:AN463"/>
    <mergeCell ref="A399:J399"/>
    <mergeCell ref="O403:Q403"/>
    <mergeCell ref="K407:O407"/>
    <mergeCell ref="O411:Q411"/>
    <mergeCell ref="B430:G430"/>
    <mergeCell ref="B436:G436"/>
    <mergeCell ref="AI373:AN373"/>
    <mergeCell ref="G375:N375"/>
    <mergeCell ref="E376:N376"/>
    <mergeCell ref="A377:E377"/>
    <mergeCell ref="D382:G382"/>
    <mergeCell ref="N384:O385"/>
    <mergeCell ref="A333:C333"/>
    <mergeCell ref="A334:E334"/>
    <mergeCell ref="B346:G346"/>
    <mergeCell ref="A353:C353"/>
    <mergeCell ref="A354:E354"/>
    <mergeCell ref="U372:Z372"/>
    <mergeCell ref="K266:O266"/>
    <mergeCell ref="U275:Z276"/>
    <mergeCell ref="AI275:AN275"/>
    <mergeCell ref="O283:Q283"/>
    <mergeCell ref="K291:O291"/>
    <mergeCell ref="U331:Z331"/>
    <mergeCell ref="AI331:AN331"/>
    <mergeCell ref="U233:Z234"/>
    <mergeCell ref="AI234:AN234"/>
    <mergeCell ref="A237:G237"/>
    <mergeCell ref="O238:Q238"/>
    <mergeCell ref="K246:O246"/>
    <mergeCell ref="O259:Q259"/>
    <mergeCell ref="K216:O216"/>
    <mergeCell ref="T216:V216"/>
    <mergeCell ref="C220:F220"/>
    <mergeCell ref="K220:O220"/>
    <mergeCell ref="T220:V220"/>
    <mergeCell ref="K226:O226"/>
    <mergeCell ref="K195:O195"/>
    <mergeCell ref="T195:V195"/>
    <mergeCell ref="K200:O200"/>
    <mergeCell ref="T200:V200"/>
    <mergeCell ref="K205:O205"/>
    <mergeCell ref="K212:O212"/>
    <mergeCell ref="T212:V212"/>
    <mergeCell ref="A162:J163"/>
    <mergeCell ref="O162:Q162"/>
    <mergeCell ref="K170:O170"/>
    <mergeCell ref="U178:Z179"/>
    <mergeCell ref="AI179:AK179"/>
    <mergeCell ref="A184:G184"/>
    <mergeCell ref="F140:M140"/>
    <mergeCell ref="AI140:AK140"/>
    <mergeCell ref="A142:G143"/>
    <mergeCell ref="A145:G146"/>
    <mergeCell ref="A151:C151"/>
    <mergeCell ref="A160:C160"/>
    <mergeCell ref="T131:V131"/>
    <mergeCell ref="K133:O133"/>
    <mergeCell ref="T133:V133"/>
    <mergeCell ref="T138:V138"/>
    <mergeCell ref="U139:Z139"/>
    <mergeCell ref="AD139:AG139"/>
    <mergeCell ref="T117:V117"/>
    <mergeCell ref="G118:R118"/>
    <mergeCell ref="T119:V119"/>
    <mergeCell ref="T124:V124"/>
    <mergeCell ref="K126:O126"/>
    <mergeCell ref="T126:V126"/>
    <mergeCell ref="K105:O105"/>
    <mergeCell ref="T105:V105"/>
    <mergeCell ref="U110:Z110"/>
    <mergeCell ref="AI110:AK110"/>
    <mergeCell ref="K112:O112"/>
    <mergeCell ref="T112:V112"/>
    <mergeCell ref="K87:O87"/>
    <mergeCell ref="T87:V87"/>
    <mergeCell ref="K93:O93"/>
    <mergeCell ref="T93:V93"/>
    <mergeCell ref="K98:O98"/>
    <mergeCell ref="T98:V98"/>
    <mergeCell ref="K64:O64"/>
    <mergeCell ref="T64:W64"/>
    <mergeCell ref="A70:J70"/>
    <mergeCell ref="K72:O72"/>
    <mergeCell ref="T72:V72"/>
    <mergeCell ref="K81:O81"/>
    <mergeCell ref="T81:V81"/>
    <mergeCell ref="U34:AA34"/>
    <mergeCell ref="K43:O43"/>
    <mergeCell ref="T43:Y43"/>
    <mergeCell ref="K52:O52"/>
    <mergeCell ref="T52:W52"/>
    <mergeCell ref="K58:O58"/>
    <mergeCell ref="U58:AA58"/>
    <mergeCell ref="A26:J27"/>
    <mergeCell ref="G30:I31"/>
    <mergeCell ref="R30:R32"/>
    <mergeCell ref="M32:O32"/>
    <mergeCell ref="K34:O34"/>
    <mergeCell ref="Q34:S34"/>
    <mergeCell ref="H22:J22"/>
    <mergeCell ref="K22:L22"/>
    <mergeCell ref="P22:Q22"/>
    <mergeCell ref="C23:C25"/>
    <mergeCell ref="D23:J23"/>
    <mergeCell ref="K23:L23"/>
    <mergeCell ref="P23:Q23"/>
    <mergeCell ref="H20:J20"/>
    <mergeCell ref="K20:L20"/>
    <mergeCell ref="P20:Q20"/>
    <mergeCell ref="H21:J21"/>
    <mergeCell ref="K21:L21"/>
    <mergeCell ref="P21:Q21"/>
    <mergeCell ref="H18:J18"/>
    <mergeCell ref="K18:L18"/>
    <mergeCell ref="O18:O19"/>
    <mergeCell ref="P18:Q18"/>
    <mergeCell ref="R18:R19"/>
    <mergeCell ref="H19:J19"/>
    <mergeCell ref="K19:L19"/>
    <mergeCell ref="P19:Q19"/>
    <mergeCell ref="H16:J16"/>
    <mergeCell ref="K16:L16"/>
    <mergeCell ref="P16:Q16"/>
    <mergeCell ref="H17:J17"/>
    <mergeCell ref="K17:L17"/>
    <mergeCell ref="P17:Q17"/>
    <mergeCell ref="H14:J14"/>
    <mergeCell ref="K14:L14"/>
    <mergeCell ref="P14:Q14"/>
    <mergeCell ref="H15:J15"/>
    <mergeCell ref="K15:L15"/>
    <mergeCell ref="P15:Q15"/>
    <mergeCell ref="H12:J12"/>
    <mergeCell ref="K12:L12"/>
    <mergeCell ref="O12:O13"/>
    <mergeCell ref="P12:Q12"/>
    <mergeCell ref="R12:R13"/>
    <mergeCell ref="H13:J13"/>
    <mergeCell ref="K13:L13"/>
    <mergeCell ref="P13:Q13"/>
    <mergeCell ref="R9:R10"/>
    <mergeCell ref="H10:J10"/>
    <mergeCell ref="K10:L10"/>
    <mergeCell ref="P10:Q10"/>
    <mergeCell ref="H11:J11"/>
    <mergeCell ref="K11:L11"/>
    <mergeCell ref="P11:Q11"/>
    <mergeCell ref="H4:J4"/>
    <mergeCell ref="K4:L4"/>
    <mergeCell ref="P4:Q4"/>
    <mergeCell ref="R4:R5"/>
    <mergeCell ref="H5:J5"/>
    <mergeCell ref="K5:L5"/>
    <mergeCell ref="P5:Q5"/>
    <mergeCell ref="B8:B9"/>
    <mergeCell ref="H8:J8"/>
    <mergeCell ref="K8:L8"/>
    <mergeCell ref="P8:Q8"/>
    <mergeCell ref="H9:J9"/>
    <mergeCell ref="K9:L9"/>
    <mergeCell ref="O9:O10"/>
    <mergeCell ref="P9:Q9"/>
    <mergeCell ref="H6:J6"/>
    <mergeCell ref="K6:L6"/>
    <mergeCell ref="P6:Q6"/>
    <mergeCell ref="H7:J7"/>
    <mergeCell ref="K7:L7"/>
    <mergeCell ref="P7:Q7"/>
    <mergeCell ref="AJ2:AJ3"/>
    <mergeCell ref="AK2:AK3"/>
    <mergeCell ref="AL2:AL3"/>
    <mergeCell ref="AM2:AM3"/>
    <mergeCell ref="AN2:AN3"/>
    <mergeCell ref="AO2:AO3"/>
    <mergeCell ref="V2:V3"/>
    <mergeCell ref="W2:W3"/>
    <mergeCell ref="X2:X3"/>
    <mergeCell ref="Y2:Y3"/>
    <mergeCell ref="Z2:Z3"/>
    <mergeCell ref="AI2:AI3"/>
    <mergeCell ref="C1:E1"/>
    <mergeCell ref="O1:R1"/>
    <mergeCell ref="S1:T1"/>
    <mergeCell ref="U1:Z1"/>
    <mergeCell ref="D2:N2"/>
    <mergeCell ref="O2:O3"/>
    <mergeCell ref="P2:Q3"/>
    <mergeCell ref="R2:R3"/>
    <mergeCell ref="S2:S3"/>
    <mergeCell ref="U2:U3"/>
    <mergeCell ref="H3:J3"/>
    <mergeCell ref="K3:L3"/>
  </mergeCells>
  <hyperlinks>
    <hyperlink ref="A181" location="Евразия!A1" display="Арматура для подключения бытовой техники" xr:uid="{00000000-0004-0000-0300-000000000000}"/>
    <hyperlink ref="A24" location="Евразия!A1" display="Краны шаровые Euros" xr:uid="{00000000-0004-0000-0300-000001000000}"/>
    <hyperlink ref="A24:C24" location="Евразия!A1" display="Краны шаровые Euros" xr:uid="{00000000-0004-0000-0300-000002000000}"/>
    <hyperlink ref="F25:J25" location="Евразия!A1" display=" Вернуться к оглавлению" xr:uid="{00000000-0004-0000-0300-000003000000}"/>
    <hyperlink ref="F72:J72" location="Евразия!A1" display=" Вернуться к оглавлению" xr:uid="{00000000-0004-0000-0300-000004000000}"/>
    <hyperlink ref="F183:J183" location="Евразия!A1" display=" Вернуться к оглавлению" xr:uid="{00000000-0004-0000-0300-000005000000}"/>
    <hyperlink ref="F25" location="Евразия!A11" display=" Вернуться к оглавлению" xr:uid="{00000000-0004-0000-0300-000006000000}"/>
    <hyperlink ref="F183" location="Евразия!A11" display=" Вернуться к оглавлению" xr:uid="{00000000-0004-0000-0300-000007000000}"/>
    <hyperlink ref="F279" location="Евразия!A11" display=" Вернуться к оглавлению" xr:uid="{00000000-0004-0000-0300-000008000000}"/>
    <hyperlink ref="F235" location="Евразия!A11" display=" Вернуться к оглавлению" xr:uid="{00000000-0004-0000-0300-000009000000}"/>
    <hyperlink ref="F377:J377" location="Евразия!A1" display=" Вернуться к оглавлению" xr:uid="{00000000-0004-0000-0300-00000A000000}"/>
    <hyperlink ref="F279:J279" location="Евразия!A1" display=" Вернуться к оглавлению" xr:uid="{00000000-0004-0000-0300-00000B000000}"/>
    <hyperlink ref="A235" location="Евразия!A1" display="Клапан обратный Euros" xr:uid="{00000000-0004-0000-0300-00000C000000}"/>
    <hyperlink ref="A278" location="Евразия!A1" display="Фильтр механической очистки Euros" xr:uid="{00000000-0004-0000-0300-00000D000000}"/>
    <hyperlink ref="A441" location="Евразия!A1" display="Клапаны радиаторные Euros терморегулирующие" xr:uid="{00000000-0004-0000-0300-00000E000000}"/>
    <hyperlink ref="A395" location="Евразия!A1" display="Вентили радиаторные Euros с ручным управлением" xr:uid="{00000000-0004-0000-0300-00000F000000}"/>
    <hyperlink ref="F396:J396" location="Евразия!A1" display=" Вернуться к оглавлению" xr:uid="{00000000-0004-0000-0300-000010000000}"/>
    <hyperlink ref="F441" location="Евразия!A11" display=" Вернуться к оглавлению" xr:uid="{00000000-0004-0000-0300-000011000000}"/>
    <hyperlink ref="F396" location="Евразия!A11" display=" Вернуться к оглавлению" xr:uid="{00000000-0004-0000-0300-000012000000}"/>
    <hyperlink ref="A471" location="Евразия!A1" display="Головки термостатические Euros" xr:uid="{00000000-0004-0000-0300-000013000000}"/>
    <hyperlink ref="F473:J473" location="Евразия!A1" display=" Вернуться к оглавлению" xr:uid="{00000000-0004-0000-0300-000014000000}"/>
    <hyperlink ref="F473" location="Евразия!A11" display=" Вернуться к оглавлению" xr:uid="{00000000-0004-0000-0300-000015000000}"/>
    <hyperlink ref="F112:J112" location="Евразия!A1" display=" Вернуться к оглавлению" xr:uid="{00000000-0004-0000-0300-000016000000}"/>
    <hyperlink ref="A160" location="Евразия!A1" display="Краны шаровые Euros" xr:uid="{00000000-0004-0000-0300-000017000000}"/>
    <hyperlink ref="A160:C160" location="Евразия!A1" display="Задвижки клиновые латунные" xr:uid="{00000000-0004-0000-0300-000018000000}"/>
    <hyperlink ref="F161:J161" location="Евразия!A1" display=" Вернуться к оглавлению" xr:uid="{00000000-0004-0000-0300-000019000000}"/>
    <hyperlink ref="F161" location="Евразия!A11" display=" Вернуться к оглавлению" xr:uid="{00000000-0004-0000-0300-00001A000000}"/>
    <hyperlink ref="A140" location="Евразия!A1" display="Краны шаровые Euros" xr:uid="{00000000-0004-0000-0300-00001B000000}"/>
    <hyperlink ref="A140:C140" location="Евразия!A1" display="Задвижки клиновые латунные" xr:uid="{00000000-0004-0000-0300-00001C000000}"/>
    <hyperlink ref="A331" location="Евразия!A1" display="Фильтр механической очистки Euros" xr:uid="{00000000-0004-0000-0300-00001D000000}"/>
    <hyperlink ref="A375" location="Евразия!A1" display="Металлопластиковая труба Euros" xr:uid="{00000000-0004-0000-0300-00001E000000}"/>
    <hyperlink ref="F377" location="Евразия!A11" display=" Вернуться к оглавлению" xr:uid="{00000000-0004-0000-0300-00001F000000}"/>
    <hyperlink ref="A493" location="Евразия!A1" display="Редуктор давления Euros" xr:uid="{00000000-0004-0000-0300-000020000000}"/>
    <hyperlink ref="F493" location="Евразия!A11" display=" Вернуться к оглавлению" xr:uid="{00000000-0004-0000-0300-000021000000}"/>
    <hyperlink ref="A514" location="Евразия!A1" display="Редуктор давления Euros" xr:uid="{00000000-0004-0000-0300-000022000000}"/>
    <hyperlink ref="F514" location="Евразия!A11" display=" Вернуться к оглавлению" xr:uid="{00000000-0004-0000-0300-000023000000}"/>
    <hyperlink ref="A587" location="Евразия!A1" display="Коллекторы Euros" xr:uid="{00000000-0004-0000-0300-000024000000}"/>
    <hyperlink ref="F588:J588" location="Евразия!A1" display=" Вернуться к оглавлению" xr:uid="{00000000-0004-0000-0300-000025000000}"/>
    <hyperlink ref="F588" location="Евразия!A11" display=" Вернуться к оглавлению" xr:uid="{00000000-0004-0000-0300-000026000000}"/>
    <hyperlink ref="A748" location="Евразия!A1" display="Комплекты Euros для монтажа радиатора" xr:uid="{00000000-0004-0000-0300-000027000000}"/>
    <hyperlink ref="A766" location="Евразия!A1" display="Комплектующте Euros для монтажа радиатора" xr:uid="{00000000-0004-0000-0300-000028000000}"/>
    <hyperlink ref="A818" location="Евразия!A1" display="Резьбовые фитинги Euros" xr:uid="{00000000-0004-0000-0300-000029000000}"/>
    <hyperlink ref="F820:J820" location="Евразия!A1" display=" Вернуться к оглавлению" xr:uid="{00000000-0004-0000-0300-00002A000000}"/>
    <hyperlink ref="F881:J881" location="Евразия!A1" display=" Вернуться к оглавлению" xr:uid="{00000000-0004-0000-0300-00002B000000}"/>
    <hyperlink ref="F936:J936" location="Евразия!A1" display=" Вернуться к оглавлению" xr:uid="{00000000-0004-0000-0300-00002C000000}"/>
    <hyperlink ref="F1038:J1038" location="Евразия!A1" display=" Вернуться к оглавлению" xr:uid="{00000000-0004-0000-0300-00002D000000}"/>
    <hyperlink ref="F820" location="Евразия!A11" display=" Вернуться к оглавлению" xr:uid="{00000000-0004-0000-0300-00002E000000}"/>
    <hyperlink ref="A1228" location="Евразия!A1" display="Пресс-фитинги Euros" xr:uid="{00000000-0004-0000-0300-00002F000000}"/>
    <hyperlink ref="F1146:J1146" location="Евразия!A1" display=" Вернуться к оглавлению" xr:uid="{00000000-0004-0000-0300-000030000000}"/>
    <hyperlink ref="F1192:J1192" location="Евразия!A1" display=" Вернуться к оглавлению" xr:uid="{00000000-0004-0000-0300-000031000000}"/>
    <hyperlink ref="F1230:J1230" location="Евразия!A1" display=" Вернуться к оглавлению" xr:uid="{00000000-0004-0000-0300-000032000000}"/>
    <hyperlink ref="F1269:J1269" location="Евразия!A1" display=" Вернуться к оглавлению" xr:uid="{00000000-0004-0000-0300-000033000000}"/>
    <hyperlink ref="F1230" location="Евразия!A1" display=" Вернуться к оглавлению" xr:uid="{00000000-0004-0000-0300-000034000000}"/>
    <hyperlink ref="F1322" location="Евразия!A11" display=" Вернуться к оглавлению" xr:uid="{00000000-0004-0000-0300-000035000000}"/>
    <hyperlink ref="F1103" location="Евразия!A11" display=" Вернуться к оглавлению" xr:uid="{00000000-0004-0000-0300-000036000000}"/>
    <hyperlink ref="F1103:J1103" location="Евразия!A1" display=" Вернуться к оглавлению" xr:uid="{00000000-0004-0000-0300-000037000000}"/>
    <hyperlink ref="A1101" location="Евразия!A1" display="Цанговые фитинги Euros" xr:uid="{00000000-0004-0000-0300-000038000000}"/>
    <hyperlink ref="H4:J4" location="Евразия!A53" display="Краны шаровые Grand" xr:uid="{00000000-0004-0000-0300-000039000000}"/>
    <hyperlink ref="H5:J5" location="Евразия!A129" display="Краны шаровые Comfort*" xr:uid="{00000000-0004-0000-0300-00003A000000}"/>
    <hyperlink ref="H6:J6" location="Евразия!A168" display="Вентили и задвижки" xr:uid="{00000000-0004-0000-0300-00003B000000}"/>
    <hyperlink ref="H7:J7" location="Евразия!A198" display="Арматура для бытовой техники" xr:uid="{00000000-0004-0000-0300-00003C000000}"/>
    <hyperlink ref="H8:J8" location="Евразия!A257" display="Обраные клапаны" xr:uid="{00000000-0004-0000-0300-00003D000000}"/>
    <hyperlink ref="H9:J9" location="Евразия!A299" display="Фильтры механической очистки" xr:uid="{00000000-0004-0000-0300-00003E000000}"/>
    <hyperlink ref="H10:J10" location="Евразия!A345" display="Фильтры тонкой очистки" xr:uid="{00000000-0004-0000-0300-00003F000000}"/>
    <hyperlink ref="H11:J11" location="Евразия!A390" display="МП труба Pex-b/AL/Pex-b" xr:uid="{00000000-0004-0000-0300-000040000000}"/>
    <hyperlink ref="H12:J12" location="Евразия!A416" display="Ручные радиаторные вентили" xr:uid="{00000000-0004-0000-0300-000041000000}"/>
    <hyperlink ref="H13:J13" location="Евразия!A446" display="Клапаны термостические" xr:uid="{00000000-0004-0000-0300-000042000000}"/>
    <hyperlink ref="H14:J14" location="Евразия!A471" display="Головки термостические" xr:uid="{00000000-0004-0000-0300-000043000000}"/>
    <hyperlink ref="H15:J15" location="Евразия!A494" display="Редукторы давления" xr:uid="{00000000-0004-0000-0300-000044000000}"/>
    <hyperlink ref="H16:J16" location="Евразия!A517" display="Предохранительная арматура" xr:uid="{00000000-0004-0000-0300-000045000000}"/>
    <hyperlink ref="H17:J17" location="Евразия!A570" display="Коллекторы" xr:uid="{00000000-0004-0000-0300-000046000000}"/>
    <hyperlink ref="H18:J18" location="Евразия!A674" display="Комплекты для монтажа радиаторов" xr:uid="{00000000-0004-0000-0300-000047000000}"/>
    <hyperlink ref="H19:J19" location="Евразия!A698" display="Комплектующие для монтажа радиаторов" xr:uid="{00000000-0004-0000-0300-000048000000}"/>
    <hyperlink ref="H20:J20" location="Евразия!A755" display="Резьбовые фитинги" xr:uid="{00000000-0004-0000-0300-000049000000}"/>
    <hyperlink ref="H21:J21" location="Евразия!A1000" display="Цанговые фитинги" xr:uid="{00000000-0004-0000-0300-00004A000000}"/>
    <hyperlink ref="H22:J22" location="Евразия!A1126" display="Пресс-фитинги" xr:uid="{00000000-0004-0000-0300-00004B000000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D77BDB38CF5724EB7EB7B1F8554E37A" ma:contentTypeVersion="0" ma:contentTypeDescription="Создание документа." ma:contentTypeScope="" ma:versionID="b17fd9af96b71005338c8ec13bd6218b">
  <xsd:schema xmlns:xsd="http://www.w3.org/2001/XMLSchema" xmlns:p="http://schemas.microsoft.com/office/2006/metadata/properties" targetNamespace="http://schemas.microsoft.com/office/2006/metadata/properties" ma:root="true" ma:fieldsID="53974d1da0c14f073d2cc649cae9f3e6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содержимого" ma:readOnly="true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A6FB1D27-D060-4CB7-87F5-778DB7BD6FA2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</ds:schemaRefs>
</ds:datastoreItem>
</file>

<file path=customXml/itemProps2.xml><?xml version="1.0" encoding="utf-8"?>
<ds:datastoreItem xmlns:ds="http://schemas.openxmlformats.org/officeDocument/2006/customXml" ds:itemID="{8415C856-7E60-45AE-B8C4-CE322773EFB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6F3EA8-E698-4747-AC9E-28811281EB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Трубопровродная Арматура</vt:lpstr>
      <vt:lpstr>Лист3</vt:lpstr>
      <vt:lpstr>Лист2</vt:lpstr>
      <vt:lpstr>'Трубопровродная Арматура'!Область_печати</vt:lpstr>
    </vt:vector>
  </TitlesOfParts>
  <Company>tmr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Aleksashin</dc:creator>
  <cp:lastModifiedBy>Egorov, Andrey</cp:lastModifiedBy>
  <cp:lastPrinted>2021-05-12T09:37:48Z</cp:lastPrinted>
  <dcterms:created xsi:type="dcterms:W3CDTF">2011-06-28T09:41:44Z</dcterms:created>
  <dcterms:modified xsi:type="dcterms:W3CDTF">2022-09-14T14:45:07Z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0x010100CD77BDB38CF5724EB7EB7B1F8554E37A</vt:lpwstr>
  </property>
</Properties>
</file>